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mc:AlternateContent xmlns:mc="http://schemas.openxmlformats.org/markup-compatibility/2006">
    <mc:Choice Requires="x15">
      <x15ac:absPath xmlns:x15ac="http://schemas.microsoft.com/office/spreadsheetml/2010/11/ac" url="C:\Users\Shushunov.SS\Desktop\ДНС Сити\1. Объекты\ОКС 12.2\9.4 Внутренняя отделка\Формы КП\"/>
    </mc:Choice>
  </mc:AlternateContent>
  <xr:revisionPtr revIDLastSave="0" documentId="13_ncr:1_{D6ED0BCC-7354-4404-9BF0-F2351ED32334}" xr6:coauthVersionLast="45" xr6:coauthVersionMax="47" xr10:uidLastSave="{00000000-0000-0000-0000-000000000000}"/>
  <bookViews>
    <workbookView xWindow="-120" yWindow="-120" windowWidth="29040" windowHeight="15840" xr2:uid="{00000000-000D-0000-FFFF-FFFF00000000}"/>
  </bookViews>
  <sheets>
    <sheet name="Форма КП" sheetId="1" r:id="rId1"/>
    <sheet name="ЛСР №1" sheetId="3" r:id="rId2"/>
    <sheet name="Ведомость ДМ" sheetId="5" r:id="rId3"/>
    <sheet name="ГПР" sheetId="8" r:id="rId4"/>
    <sheet name="Замечания-предложения к РД" sheetId="6" r:id="rId5"/>
  </sheets>
  <definedNames>
    <definedName name="_xlnm._FilterDatabase" localSheetId="2" hidden="1">'Ведомость ДМ'!$B$5:$E$19</definedName>
    <definedName name="_xlnm._FilterDatabase" localSheetId="1" hidden="1">'ЛСР №1'!$A$14:$S$377</definedName>
    <definedName name="_xlnm._FilterDatabase" localSheetId="0" hidden="1">'Форма КП'!$A$24:$I$52</definedName>
    <definedName name="_xlnm.Print_Area" localSheetId="2">'Ведомость ДМ'!$A$1:$F$24</definedName>
    <definedName name="_xlnm.Print_Area" localSheetId="0">'Форма КП'!$A$3:$G$88</definedName>
  </definedName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71" i="1" l="1"/>
  <c r="N367" i="3"/>
  <c r="N365" i="3"/>
  <c r="N362" i="3"/>
  <c r="N356" i="3"/>
  <c r="N351" i="3"/>
  <c r="N347" i="3"/>
  <c r="N340" i="3"/>
  <c r="N338" i="3"/>
  <c r="N335" i="3"/>
  <c r="N329" i="3"/>
  <c r="N324" i="3"/>
  <c r="N320" i="3"/>
  <c r="N313" i="3"/>
  <c r="N311" i="3"/>
  <c r="N308" i="3"/>
  <c r="N302" i="3"/>
  <c r="N297" i="3"/>
  <c r="N293" i="3"/>
  <c r="N286" i="3"/>
  <c r="N284" i="3"/>
  <c r="N281" i="3"/>
  <c r="N275" i="3"/>
  <c r="N270" i="3"/>
  <c r="N266" i="3"/>
  <c r="N259" i="3"/>
  <c r="N257" i="3"/>
  <c r="N254" i="3"/>
  <c r="N248" i="3"/>
  <c r="N243" i="3"/>
  <c r="N239" i="3"/>
  <c r="N232" i="3"/>
  <c r="N230" i="3"/>
  <c r="N227" i="3"/>
  <c r="N221" i="3"/>
  <c r="N216" i="3"/>
  <c r="N212" i="3"/>
  <c r="N205" i="3"/>
  <c r="N203" i="3"/>
  <c r="N200" i="3"/>
  <c r="N194" i="3"/>
  <c r="N189" i="3"/>
  <c r="N185" i="3"/>
  <c r="N178" i="3"/>
  <c r="N176" i="3"/>
  <c r="N173" i="3"/>
  <c r="N167" i="3"/>
  <c r="N162" i="3"/>
  <c r="N158" i="3"/>
  <c r="N151" i="3"/>
  <c r="N149" i="3"/>
  <c r="N146" i="3"/>
  <c r="N140" i="3"/>
  <c r="N135" i="3"/>
  <c r="N131" i="3"/>
  <c r="N124" i="3"/>
  <c r="N122" i="3"/>
  <c r="N119" i="3"/>
  <c r="N113" i="3"/>
  <c r="N108" i="3"/>
  <c r="N104" i="3"/>
  <c r="N97" i="3"/>
  <c r="N95" i="3"/>
  <c r="N92" i="3"/>
  <c r="N86" i="3"/>
  <c r="N81" i="3"/>
  <c r="N77" i="3"/>
  <c r="N70" i="3"/>
  <c r="N67" i="3"/>
  <c r="N61" i="3"/>
  <c r="N59" i="3"/>
  <c r="N54" i="3"/>
  <c r="N49" i="3"/>
  <c r="N44" i="3"/>
  <c r="N41" i="3"/>
  <c r="N37" i="3"/>
  <c r="S37" i="3" s="1"/>
  <c r="N32" i="3"/>
  <c r="N24" i="3"/>
  <c r="P366" i="3"/>
  <c r="R366" i="3" s="1"/>
  <c r="P364" i="3"/>
  <c r="R364" i="3" s="1"/>
  <c r="P363" i="3"/>
  <c r="R363" i="3" s="1"/>
  <c r="P360" i="3"/>
  <c r="R360" i="3" s="1"/>
  <c r="P359" i="3"/>
  <c r="R359" i="3" s="1"/>
  <c r="P358" i="3"/>
  <c r="R358" i="3" s="1"/>
  <c r="P357" i="3"/>
  <c r="R357" i="3" s="1"/>
  <c r="P355" i="3"/>
  <c r="R355" i="3" s="1"/>
  <c r="P354" i="3"/>
  <c r="R354" i="3" s="1"/>
  <c r="P353" i="3"/>
  <c r="R353" i="3" s="1"/>
  <c r="P352" i="3"/>
  <c r="R352" i="3" s="1"/>
  <c r="P339" i="3"/>
  <c r="R339" i="3" s="1"/>
  <c r="P337" i="3"/>
  <c r="R337" i="3" s="1"/>
  <c r="P336" i="3"/>
  <c r="R336" i="3" s="1"/>
  <c r="P333" i="3"/>
  <c r="R333" i="3" s="1"/>
  <c r="P332" i="3"/>
  <c r="R332" i="3" s="1"/>
  <c r="P331" i="3"/>
  <c r="R331" i="3" s="1"/>
  <c r="P330" i="3"/>
  <c r="R330" i="3" s="1"/>
  <c r="P328" i="3"/>
  <c r="R328" i="3" s="1"/>
  <c r="P327" i="3"/>
  <c r="R327" i="3" s="1"/>
  <c r="P326" i="3"/>
  <c r="R326" i="3" s="1"/>
  <c r="P325" i="3"/>
  <c r="R325" i="3" s="1"/>
  <c r="P312" i="3"/>
  <c r="R312" i="3" s="1"/>
  <c r="P310" i="3"/>
  <c r="R310" i="3" s="1"/>
  <c r="P309" i="3"/>
  <c r="R309" i="3" s="1"/>
  <c r="P306" i="3"/>
  <c r="R306" i="3" s="1"/>
  <c r="P305" i="3"/>
  <c r="R305" i="3" s="1"/>
  <c r="P304" i="3"/>
  <c r="R304" i="3" s="1"/>
  <c r="P303" i="3"/>
  <c r="R303" i="3" s="1"/>
  <c r="P301" i="3"/>
  <c r="R301" i="3" s="1"/>
  <c r="P300" i="3"/>
  <c r="R300" i="3" s="1"/>
  <c r="P299" i="3"/>
  <c r="R299" i="3" s="1"/>
  <c r="P298" i="3"/>
  <c r="R298" i="3" s="1"/>
  <c r="P285" i="3"/>
  <c r="R285" i="3" s="1"/>
  <c r="P283" i="3"/>
  <c r="R283" i="3" s="1"/>
  <c r="P282" i="3"/>
  <c r="R282" i="3" s="1"/>
  <c r="P279" i="3"/>
  <c r="R279" i="3" s="1"/>
  <c r="P278" i="3"/>
  <c r="R278" i="3" s="1"/>
  <c r="P277" i="3"/>
  <c r="R277" i="3" s="1"/>
  <c r="P276" i="3"/>
  <c r="R276" i="3" s="1"/>
  <c r="P274" i="3"/>
  <c r="R274" i="3" s="1"/>
  <c r="P273" i="3"/>
  <c r="R273" i="3" s="1"/>
  <c r="P272" i="3"/>
  <c r="R272" i="3" s="1"/>
  <c r="P271" i="3"/>
  <c r="R271" i="3" s="1"/>
  <c r="P258" i="3"/>
  <c r="R258" i="3" s="1"/>
  <c r="P256" i="3"/>
  <c r="R256" i="3" s="1"/>
  <c r="P255" i="3"/>
  <c r="R255" i="3" s="1"/>
  <c r="P252" i="3"/>
  <c r="R252" i="3" s="1"/>
  <c r="P251" i="3"/>
  <c r="R251" i="3" s="1"/>
  <c r="P250" i="3"/>
  <c r="R250" i="3" s="1"/>
  <c r="P249" i="3"/>
  <c r="R249" i="3" s="1"/>
  <c r="P247" i="3"/>
  <c r="R247" i="3" s="1"/>
  <c r="P246" i="3"/>
  <c r="R246" i="3" s="1"/>
  <c r="P245" i="3"/>
  <c r="R245" i="3" s="1"/>
  <c r="P244" i="3"/>
  <c r="R244" i="3" s="1"/>
  <c r="P231" i="3"/>
  <c r="R231" i="3" s="1"/>
  <c r="P229" i="3"/>
  <c r="R229" i="3" s="1"/>
  <c r="P228" i="3"/>
  <c r="R228" i="3" s="1"/>
  <c r="P225" i="3"/>
  <c r="R225" i="3" s="1"/>
  <c r="P224" i="3"/>
  <c r="R224" i="3" s="1"/>
  <c r="P223" i="3"/>
  <c r="R223" i="3" s="1"/>
  <c r="P222" i="3"/>
  <c r="R222" i="3" s="1"/>
  <c r="P220" i="3"/>
  <c r="R220" i="3" s="1"/>
  <c r="P219" i="3"/>
  <c r="R219" i="3" s="1"/>
  <c r="P218" i="3"/>
  <c r="R218" i="3" s="1"/>
  <c r="P217" i="3"/>
  <c r="R217" i="3" s="1"/>
  <c r="P204" i="3"/>
  <c r="R204" i="3" s="1"/>
  <c r="P202" i="3"/>
  <c r="R202" i="3" s="1"/>
  <c r="P201" i="3"/>
  <c r="R201" i="3" s="1"/>
  <c r="P198" i="3"/>
  <c r="R198" i="3" s="1"/>
  <c r="P197" i="3"/>
  <c r="R197" i="3" s="1"/>
  <c r="P196" i="3"/>
  <c r="R196" i="3" s="1"/>
  <c r="P195" i="3"/>
  <c r="R195" i="3" s="1"/>
  <c r="P193" i="3"/>
  <c r="R193" i="3" s="1"/>
  <c r="P192" i="3"/>
  <c r="R192" i="3" s="1"/>
  <c r="P191" i="3"/>
  <c r="R191" i="3" s="1"/>
  <c r="P190" i="3"/>
  <c r="R190" i="3" s="1"/>
  <c r="P177" i="3"/>
  <c r="R177" i="3" s="1"/>
  <c r="P175" i="3"/>
  <c r="R175" i="3" s="1"/>
  <c r="P174" i="3"/>
  <c r="R174" i="3" s="1"/>
  <c r="P171" i="3"/>
  <c r="R171" i="3" s="1"/>
  <c r="P170" i="3"/>
  <c r="R170" i="3" s="1"/>
  <c r="P169" i="3"/>
  <c r="R169" i="3" s="1"/>
  <c r="P168" i="3"/>
  <c r="R168" i="3" s="1"/>
  <c r="P166" i="3"/>
  <c r="R166" i="3" s="1"/>
  <c r="P165" i="3"/>
  <c r="R165" i="3" s="1"/>
  <c r="P164" i="3"/>
  <c r="R164" i="3" s="1"/>
  <c r="P163" i="3"/>
  <c r="R163" i="3" s="1"/>
  <c r="P150" i="3"/>
  <c r="R150" i="3" s="1"/>
  <c r="P148" i="3"/>
  <c r="R148" i="3" s="1"/>
  <c r="P147" i="3"/>
  <c r="R147" i="3" s="1"/>
  <c r="P144" i="3"/>
  <c r="R144" i="3" s="1"/>
  <c r="P143" i="3"/>
  <c r="R143" i="3" s="1"/>
  <c r="P142" i="3"/>
  <c r="R142" i="3" s="1"/>
  <c r="P141" i="3"/>
  <c r="R141" i="3" s="1"/>
  <c r="P139" i="3"/>
  <c r="R139" i="3" s="1"/>
  <c r="P138" i="3"/>
  <c r="R138" i="3" s="1"/>
  <c r="P137" i="3"/>
  <c r="R137" i="3" s="1"/>
  <c r="P136" i="3"/>
  <c r="R136" i="3" s="1"/>
  <c r="P123" i="3"/>
  <c r="R123" i="3" s="1"/>
  <c r="P121" i="3"/>
  <c r="R121" i="3" s="1"/>
  <c r="P120" i="3"/>
  <c r="R120" i="3" s="1"/>
  <c r="P117" i="3"/>
  <c r="R117" i="3" s="1"/>
  <c r="P116" i="3"/>
  <c r="R116" i="3" s="1"/>
  <c r="P115" i="3"/>
  <c r="R115" i="3" s="1"/>
  <c r="P114" i="3"/>
  <c r="R114" i="3" s="1"/>
  <c r="P112" i="3"/>
  <c r="R112" i="3" s="1"/>
  <c r="P111" i="3"/>
  <c r="R111" i="3" s="1"/>
  <c r="P110" i="3"/>
  <c r="R110" i="3" s="1"/>
  <c r="P109" i="3"/>
  <c r="R109" i="3" s="1"/>
  <c r="P96" i="3"/>
  <c r="R96" i="3" s="1"/>
  <c r="P94" i="3"/>
  <c r="R94" i="3" s="1"/>
  <c r="P93" i="3"/>
  <c r="R93" i="3" s="1"/>
  <c r="P90" i="3"/>
  <c r="R90" i="3" s="1"/>
  <c r="P89" i="3"/>
  <c r="R89" i="3" s="1"/>
  <c r="P88" i="3"/>
  <c r="R88" i="3" s="1"/>
  <c r="P87" i="3"/>
  <c r="R87" i="3" s="1"/>
  <c r="P85" i="3"/>
  <c r="R85" i="3" s="1"/>
  <c r="P84" i="3"/>
  <c r="R84" i="3" s="1"/>
  <c r="P83" i="3"/>
  <c r="R83" i="3" s="1"/>
  <c r="P82" i="3"/>
  <c r="R82" i="3" s="1"/>
  <c r="P69" i="3"/>
  <c r="R69" i="3" s="1"/>
  <c r="P68" i="3"/>
  <c r="R68" i="3" s="1"/>
  <c r="P65" i="3"/>
  <c r="R65" i="3" s="1"/>
  <c r="P64" i="3"/>
  <c r="R64" i="3" s="1"/>
  <c r="P63" i="3"/>
  <c r="R63" i="3" s="1"/>
  <c r="P62" i="3"/>
  <c r="R62" i="3" s="1"/>
  <c r="P60" i="3"/>
  <c r="R60" i="3" s="1"/>
  <c r="P58" i="3"/>
  <c r="R58" i="3" s="1"/>
  <c r="P57" i="3"/>
  <c r="R57" i="3" s="1"/>
  <c r="P56" i="3"/>
  <c r="R56" i="3" s="1"/>
  <c r="P55" i="3"/>
  <c r="R55" i="3" s="1"/>
  <c r="P53" i="3"/>
  <c r="R53" i="3" s="1"/>
  <c r="P52" i="3"/>
  <c r="R52" i="3" s="1"/>
  <c r="P51" i="3"/>
  <c r="R51" i="3" s="1"/>
  <c r="P50" i="3"/>
  <c r="R50" i="3" s="1"/>
  <c r="P43" i="3"/>
  <c r="R43" i="3" s="1"/>
  <c r="P42" i="3"/>
  <c r="R42" i="3" s="1"/>
  <c r="P38" i="3"/>
  <c r="R38" i="3" s="1"/>
  <c r="P36" i="3"/>
  <c r="R36" i="3" s="1"/>
  <c r="P35" i="3"/>
  <c r="R35" i="3" s="1"/>
  <c r="P34" i="3"/>
  <c r="R34" i="3" s="1"/>
  <c r="P33" i="3"/>
  <c r="R33" i="3" s="1"/>
  <c r="P31" i="3"/>
  <c r="R31" i="3" s="1"/>
  <c r="P27" i="3"/>
  <c r="R27" i="3" s="1"/>
  <c r="P22" i="3"/>
  <c r="R22" i="3" s="1"/>
  <c r="P21" i="3"/>
  <c r="R21" i="3" s="1"/>
  <c r="P20" i="3"/>
  <c r="R20" i="3" s="1"/>
  <c r="P371" i="3"/>
  <c r="P370" i="3"/>
  <c r="P369" i="3"/>
  <c r="P368" i="3"/>
  <c r="P350" i="3"/>
  <c r="P349" i="3"/>
  <c r="P348" i="3"/>
  <c r="P344" i="3"/>
  <c r="P343" i="3"/>
  <c r="P342" i="3"/>
  <c r="P341" i="3"/>
  <c r="P323" i="3"/>
  <c r="P322" i="3"/>
  <c r="P321" i="3"/>
  <c r="P317" i="3"/>
  <c r="P316" i="3"/>
  <c r="P315" i="3"/>
  <c r="P314" i="3"/>
  <c r="P296" i="3"/>
  <c r="P295" i="3"/>
  <c r="P294" i="3"/>
  <c r="P290" i="3"/>
  <c r="P289" i="3"/>
  <c r="P288" i="3"/>
  <c r="P287" i="3"/>
  <c r="P269" i="3"/>
  <c r="P268" i="3"/>
  <c r="P267" i="3"/>
  <c r="P263" i="3"/>
  <c r="P262" i="3"/>
  <c r="P261" i="3"/>
  <c r="P260" i="3"/>
  <c r="P242" i="3"/>
  <c r="P241" i="3"/>
  <c r="P240" i="3"/>
  <c r="P236" i="3"/>
  <c r="P235" i="3"/>
  <c r="P234" i="3"/>
  <c r="P233" i="3"/>
  <c r="P215" i="3"/>
  <c r="P214" i="3"/>
  <c r="P213" i="3"/>
  <c r="P209" i="3"/>
  <c r="P208" i="3"/>
  <c r="P207" i="3"/>
  <c r="P206" i="3"/>
  <c r="P188" i="3"/>
  <c r="P187" i="3"/>
  <c r="P186" i="3"/>
  <c r="P182" i="3"/>
  <c r="P181" i="3"/>
  <c r="P180" i="3"/>
  <c r="P179" i="3"/>
  <c r="P161" i="3"/>
  <c r="P160" i="3"/>
  <c r="P159" i="3"/>
  <c r="P155" i="3"/>
  <c r="P154" i="3"/>
  <c r="P153" i="3"/>
  <c r="P152" i="3"/>
  <c r="P134" i="3"/>
  <c r="P133" i="3"/>
  <c r="P132" i="3"/>
  <c r="P128" i="3"/>
  <c r="P127" i="3"/>
  <c r="P126" i="3"/>
  <c r="P125" i="3"/>
  <c r="P107" i="3"/>
  <c r="P106" i="3"/>
  <c r="P105" i="3"/>
  <c r="P101" i="3"/>
  <c r="P100" i="3"/>
  <c r="P99" i="3"/>
  <c r="P98" i="3"/>
  <c r="P80" i="3"/>
  <c r="P79" i="3"/>
  <c r="P78" i="3"/>
  <c r="P74" i="3"/>
  <c r="P73" i="3"/>
  <c r="P72" i="3"/>
  <c r="P71" i="3"/>
  <c r="P48" i="3"/>
  <c r="P47" i="3"/>
  <c r="P46" i="3"/>
  <c r="P45" i="3"/>
  <c r="P30" i="3"/>
  <c r="R30" i="3" s="1"/>
  <c r="P29" i="3"/>
  <c r="P28" i="3"/>
  <c r="P26" i="3"/>
  <c r="P25" i="3"/>
  <c r="O37" i="3" l="1"/>
  <c r="R37" i="3"/>
  <c r="R49" i="3"/>
  <c r="R61" i="3"/>
  <c r="R77" i="3"/>
  <c r="R92" i="3"/>
  <c r="R104" i="3"/>
  <c r="R119" i="3"/>
  <c r="R131" i="3"/>
  <c r="R146" i="3"/>
  <c r="R158" i="3"/>
  <c r="R173" i="3"/>
  <c r="R185" i="3"/>
  <c r="R200" i="3"/>
  <c r="R212" i="3"/>
  <c r="R227" i="3"/>
  <c r="R239" i="3"/>
  <c r="R254" i="3"/>
  <c r="R266" i="3"/>
  <c r="R281" i="3"/>
  <c r="R293" i="3"/>
  <c r="R308" i="3"/>
  <c r="R320" i="3"/>
  <c r="R335" i="3"/>
  <c r="R347" i="3"/>
  <c r="R362" i="3"/>
  <c r="R24" i="3"/>
  <c r="R54" i="3"/>
  <c r="R81" i="3"/>
  <c r="R108" i="3"/>
  <c r="R122" i="3"/>
  <c r="R135" i="3"/>
  <c r="R149" i="3"/>
  <c r="R176" i="3"/>
  <c r="R189" i="3"/>
  <c r="R203" i="3"/>
  <c r="R216" i="3"/>
  <c r="R230" i="3"/>
  <c r="R243" i="3"/>
  <c r="R257" i="3"/>
  <c r="R270" i="3"/>
  <c r="R284" i="3"/>
  <c r="R297" i="3"/>
  <c r="R311" i="3"/>
  <c r="R324" i="3"/>
  <c r="R338" i="3"/>
  <c r="R351" i="3"/>
  <c r="R365" i="3"/>
  <c r="R41" i="3"/>
  <c r="R67" i="3"/>
  <c r="R95" i="3"/>
  <c r="R162" i="3"/>
  <c r="R32" i="3"/>
  <c r="R44" i="3"/>
  <c r="R59" i="3"/>
  <c r="R70" i="3"/>
  <c r="R86" i="3"/>
  <c r="R97" i="3"/>
  <c r="R113" i="3"/>
  <c r="R124" i="3"/>
  <c r="R140" i="3"/>
  <c r="R151" i="3"/>
  <c r="R167" i="3"/>
  <c r="R178" i="3"/>
  <c r="R194" i="3"/>
  <c r="R205" i="3"/>
  <c r="R221" i="3"/>
  <c r="R232" i="3"/>
  <c r="R248" i="3"/>
  <c r="R259" i="3"/>
  <c r="R275" i="3"/>
  <c r="R286" i="3"/>
  <c r="R302" i="3"/>
  <c r="R313" i="3"/>
  <c r="R329" i="3"/>
  <c r="R340" i="3"/>
  <c r="R356" i="3"/>
  <c r="R367" i="3"/>
  <c r="R132" i="3"/>
  <c r="R186" i="3"/>
  <c r="R213" i="3"/>
  <c r="R240" i="3"/>
  <c r="R267" i="3"/>
  <c r="R294" i="3"/>
  <c r="R321" i="3"/>
  <c r="R348" i="3"/>
  <c r="R133" i="3"/>
  <c r="R160" i="3"/>
  <c r="R187" i="3"/>
  <c r="R214" i="3"/>
  <c r="R241" i="3"/>
  <c r="R268" i="3"/>
  <c r="R295" i="3"/>
  <c r="R322" i="3"/>
  <c r="R134" i="3"/>
  <c r="R161" i="3"/>
  <c r="R188" i="3"/>
  <c r="R215" i="3"/>
  <c r="R242" i="3"/>
  <c r="R269" i="3"/>
  <c r="R296" i="3"/>
  <c r="R105" i="3"/>
  <c r="R80" i="3"/>
  <c r="R106" i="3"/>
  <c r="R107" i="3"/>
  <c r="R79" i="3"/>
  <c r="R98" i="3"/>
  <c r="R179" i="3"/>
  <c r="R206" i="3"/>
  <c r="R233" i="3"/>
  <c r="R260" i="3"/>
  <c r="R287" i="3"/>
  <c r="R159" i="3"/>
  <c r="R45" i="3"/>
  <c r="R71" i="3"/>
  <c r="R152" i="3"/>
  <c r="R72" i="3"/>
  <c r="R99" i="3"/>
  <c r="R126" i="3"/>
  <c r="R153" i="3"/>
  <c r="R207" i="3"/>
  <c r="R234" i="3"/>
  <c r="R261" i="3"/>
  <c r="R288" i="3"/>
  <c r="R315" i="3"/>
  <c r="R342" i="3"/>
  <c r="R369" i="3"/>
  <c r="R46" i="3"/>
  <c r="R125" i="3"/>
  <c r="R47" i="3"/>
  <c r="R180" i="3"/>
  <c r="R25" i="3"/>
  <c r="R73" i="3"/>
  <c r="R100" i="3"/>
  <c r="R127" i="3"/>
  <c r="R154" i="3"/>
  <c r="R181" i="3"/>
  <c r="R208" i="3"/>
  <c r="R235" i="3"/>
  <c r="R262" i="3"/>
  <c r="R289" i="3"/>
  <c r="R316" i="3"/>
  <c r="R78" i="3"/>
  <c r="R28" i="3"/>
  <c r="R29" i="3"/>
  <c r="R26" i="3"/>
  <c r="R48" i="3"/>
  <c r="R74" i="3"/>
  <c r="R101" i="3"/>
  <c r="R128" i="3"/>
  <c r="R155" i="3"/>
  <c r="R182" i="3"/>
  <c r="R209" i="3"/>
  <c r="R236" i="3"/>
  <c r="R263" i="3"/>
  <c r="R290" i="3"/>
  <c r="R343" i="3"/>
  <c r="R349" i="3"/>
  <c r="R370" i="3"/>
  <c r="R314" i="3"/>
  <c r="R317" i="3"/>
  <c r="R323" i="3"/>
  <c r="R341" i="3"/>
  <c r="R344" i="3"/>
  <c r="R350" i="3"/>
  <c r="R368" i="3"/>
  <c r="R371" i="3"/>
  <c r="J371" i="3"/>
  <c r="I371" i="3"/>
  <c r="H371" i="3"/>
  <c r="G371" i="3"/>
  <c r="J370" i="3"/>
  <c r="I370" i="3"/>
  <c r="H370" i="3"/>
  <c r="G370" i="3"/>
  <c r="F370" i="3"/>
  <c r="S370" i="3" s="1"/>
  <c r="J369" i="3"/>
  <c r="I369" i="3"/>
  <c r="H369" i="3"/>
  <c r="G369" i="3"/>
  <c r="J368" i="3"/>
  <c r="I368" i="3"/>
  <c r="H368" i="3"/>
  <c r="G368" i="3"/>
  <c r="F367" i="3"/>
  <c r="S367" i="3" s="1"/>
  <c r="J366" i="3"/>
  <c r="I366" i="3"/>
  <c r="H366" i="3"/>
  <c r="G366" i="3"/>
  <c r="F365" i="3"/>
  <c r="O365" i="3" s="1"/>
  <c r="J364" i="3"/>
  <c r="I364" i="3"/>
  <c r="H364" i="3"/>
  <c r="G364" i="3"/>
  <c r="J363" i="3"/>
  <c r="I363" i="3"/>
  <c r="H363" i="3"/>
  <c r="G363" i="3"/>
  <c r="F362" i="3"/>
  <c r="S362" i="3" s="1"/>
  <c r="J344" i="3"/>
  <c r="I344" i="3"/>
  <c r="H344" i="3"/>
  <c r="G344" i="3"/>
  <c r="J343" i="3"/>
  <c r="F343" i="3" s="1"/>
  <c r="Q343" i="3" s="1"/>
  <c r="I343" i="3"/>
  <c r="H343" i="3"/>
  <c r="G343" i="3"/>
  <c r="J342" i="3"/>
  <c r="I342" i="3"/>
  <c r="H342" i="3"/>
  <c r="G342" i="3"/>
  <c r="J341" i="3"/>
  <c r="I341" i="3"/>
  <c r="H341" i="3"/>
  <c r="G341" i="3"/>
  <c r="F340" i="3"/>
  <c r="S340" i="3" s="1"/>
  <c r="J339" i="3"/>
  <c r="I339" i="3"/>
  <c r="H339" i="3"/>
  <c r="G339" i="3"/>
  <c r="F338" i="3"/>
  <c r="S338" i="3" s="1"/>
  <c r="J337" i="3"/>
  <c r="I337" i="3"/>
  <c r="H337" i="3"/>
  <c r="G337" i="3"/>
  <c r="F337" i="3" s="1"/>
  <c r="J336" i="3"/>
  <c r="I336" i="3"/>
  <c r="H336" i="3"/>
  <c r="G336" i="3"/>
  <c r="F335" i="3"/>
  <c r="O335" i="3" s="1"/>
  <c r="M317" i="3"/>
  <c r="L317" i="3"/>
  <c r="K317" i="3"/>
  <c r="J317" i="3"/>
  <c r="I317" i="3"/>
  <c r="H317" i="3"/>
  <c r="G317" i="3"/>
  <c r="M316" i="3"/>
  <c r="L316" i="3"/>
  <c r="K316" i="3"/>
  <c r="J316" i="3"/>
  <c r="I316" i="3"/>
  <c r="H316" i="3"/>
  <c r="G316" i="3"/>
  <c r="M315" i="3"/>
  <c r="L315" i="3"/>
  <c r="K315" i="3"/>
  <c r="J315" i="3"/>
  <c r="I315" i="3"/>
  <c r="H315" i="3"/>
  <c r="G315" i="3"/>
  <c r="M314" i="3"/>
  <c r="L314" i="3"/>
  <c r="K314" i="3"/>
  <c r="J314" i="3"/>
  <c r="I314" i="3"/>
  <c r="H314" i="3"/>
  <c r="G314" i="3"/>
  <c r="F313" i="3"/>
  <c r="S313" i="3" s="1"/>
  <c r="M312" i="3"/>
  <c r="L312" i="3"/>
  <c r="K312" i="3"/>
  <c r="J312" i="3"/>
  <c r="I312" i="3"/>
  <c r="H312" i="3"/>
  <c r="G312" i="3"/>
  <c r="F311" i="3"/>
  <c r="O311" i="3" s="1"/>
  <c r="M310" i="3"/>
  <c r="L310" i="3"/>
  <c r="K310" i="3"/>
  <c r="J310" i="3"/>
  <c r="I310" i="3"/>
  <c r="H310" i="3"/>
  <c r="G310" i="3"/>
  <c r="M309" i="3"/>
  <c r="L309" i="3"/>
  <c r="K309" i="3"/>
  <c r="J309" i="3"/>
  <c r="I309" i="3"/>
  <c r="H309" i="3"/>
  <c r="G309" i="3"/>
  <c r="F308" i="3"/>
  <c r="O308" i="3" s="1"/>
  <c r="M290" i="3"/>
  <c r="L290" i="3"/>
  <c r="K290" i="3"/>
  <c r="J290" i="3"/>
  <c r="I290" i="3"/>
  <c r="H290" i="3"/>
  <c r="G290" i="3"/>
  <c r="M289" i="3"/>
  <c r="L289" i="3"/>
  <c r="K289" i="3"/>
  <c r="J289" i="3"/>
  <c r="I289" i="3"/>
  <c r="H289" i="3"/>
  <c r="G289" i="3"/>
  <c r="M288" i="3"/>
  <c r="L288" i="3"/>
  <c r="K288" i="3"/>
  <c r="J288" i="3"/>
  <c r="I288" i="3"/>
  <c r="H288" i="3"/>
  <c r="G288" i="3"/>
  <c r="M287" i="3"/>
  <c r="L287" i="3"/>
  <c r="K287" i="3"/>
  <c r="J287" i="3"/>
  <c r="I287" i="3"/>
  <c r="H287" i="3"/>
  <c r="G287" i="3"/>
  <c r="F286" i="3"/>
  <c r="O286" i="3" s="1"/>
  <c r="M285" i="3"/>
  <c r="L285" i="3"/>
  <c r="K285" i="3"/>
  <c r="J285" i="3"/>
  <c r="I285" i="3"/>
  <c r="H285" i="3"/>
  <c r="G285" i="3"/>
  <c r="F284" i="3"/>
  <c r="S284" i="3" s="1"/>
  <c r="M283" i="3"/>
  <c r="L283" i="3"/>
  <c r="K283" i="3"/>
  <c r="J283" i="3"/>
  <c r="I283" i="3"/>
  <c r="H283" i="3"/>
  <c r="G283" i="3"/>
  <c r="M282" i="3"/>
  <c r="L282" i="3"/>
  <c r="K282" i="3"/>
  <c r="J282" i="3"/>
  <c r="I282" i="3"/>
  <c r="H282" i="3"/>
  <c r="G282" i="3"/>
  <c r="F281" i="3"/>
  <c r="O281" i="3" s="1"/>
  <c r="M263" i="3"/>
  <c r="L263" i="3"/>
  <c r="K263" i="3"/>
  <c r="J263" i="3"/>
  <c r="I263" i="3"/>
  <c r="H263" i="3"/>
  <c r="G263" i="3"/>
  <c r="M262" i="3"/>
  <c r="L262" i="3"/>
  <c r="K262" i="3"/>
  <c r="J262" i="3"/>
  <c r="I262" i="3"/>
  <c r="H262" i="3"/>
  <c r="G262" i="3"/>
  <c r="M261" i="3"/>
  <c r="L261" i="3"/>
  <c r="K261" i="3"/>
  <c r="J261" i="3"/>
  <c r="I261" i="3"/>
  <c r="H261" i="3"/>
  <c r="G261" i="3"/>
  <c r="M260" i="3"/>
  <c r="L260" i="3"/>
  <c r="K260" i="3"/>
  <c r="J260" i="3"/>
  <c r="I260" i="3"/>
  <c r="H260" i="3"/>
  <c r="G260" i="3"/>
  <c r="F259" i="3"/>
  <c r="S259" i="3" s="1"/>
  <c r="M258" i="3"/>
  <c r="L258" i="3"/>
  <c r="K258" i="3"/>
  <c r="J258" i="3"/>
  <c r="I258" i="3"/>
  <c r="H258" i="3"/>
  <c r="G258" i="3"/>
  <c r="F257" i="3"/>
  <c r="S257" i="3" s="1"/>
  <c r="M256" i="3"/>
  <c r="L256" i="3"/>
  <c r="K256" i="3"/>
  <c r="J256" i="3"/>
  <c r="I256" i="3"/>
  <c r="H256" i="3"/>
  <c r="G256" i="3"/>
  <c r="M255" i="3"/>
  <c r="L255" i="3"/>
  <c r="K255" i="3"/>
  <c r="J255" i="3"/>
  <c r="I255" i="3"/>
  <c r="H255" i="3"/>
  <c r="G255" i="3"/>
  <c r="F254" i="3"/>
  <c r="O254" i="3" s="1"/>
  <c r="M236" i="3"/>
  <c r="L236" i="3"/>
  <c r="K236" i="3"/>
  <c r="J236" i="3"/>
  <c r="I236" i="3"/>
  <c r="H236" i="3"/>
  <c r="G236" i="3"/>
  <c r="M235" i="3"/>
  <c r="L235" i="3"/>
  <c r="K235" i="3"/>
  <c r="J235" i="3"/>
  <c r="I235" i="3"/>
  <c r="H235" i="3"/>
  <c r="G235" i="3"/>
  <c r="M234" i="3"/>
  <c r="L234" i="3"/>
  <c r="K234" i="3"/>
  <c r="J234" i="3"/>
  <c r="I234" i="3"/>
  <c r="H234" i="3"/>
  <c r="G234" i="3"/>
  <c r="M233" i="3"/>
  <c r="L233" i="3"/>
  <c r="K233" i="3"/>
  <c r="J233" i="3"/>
  <c r="I233" i="3"/>
  <c r="H233" i="3"/>
  <c r="G233" i="3"/>
  <c r="F232" i="3"/>
  <c r="O232" i="3" s="1"/>
  <c r="M231" i="3"/>
  <c r="L231" i="3"/>
  <c r="K231" i="3"/>
  <c r="J231" i="3"/>
  <c r="I231" i="3"/>
  <c r="H231" i="3"/>
  <c r="G231" i="3"/>
  <c r="F230" i="3"/>
  <c r="O230" i="3" s="1"/>
  <c r="M229" i="3"/>
  <c r="L229" i="3"/>
  <c r="K229" i="3"/>
  <c r="J229" i="3"/>
  <c r="I229" i="3"/>
  <c r="H229" i="3"/>
  <c r="G229" i="3"/>
  <c r="F229" i="3" s="1"/>
  <c r="M228" i="3"/>
  <c r="L228" i="3"/>
  <c r="K228" i="3"/>
  <c r="J228" i="3"/>
  <c r="I228" i="3"/>
  <c r="H228" i="3"/>
  <c r="G228" i="3"/>
  <c r="F227" i="3"/>
  <c r="S227" i="3" s="1"/>
  <c r="M209" i="3"/>
  <c r="L209" i="3"/>
  <c r="K209" i="3"/>
  <c r="J209" i="3"/>
  <c r="I209" i="3"/>
  <c r="H209" i="3"/>
  <c r="G209" i="3"/>
  <c r="M208" i="3"/>
  <c r="L208" i="3"/>
  <c r="K208" i="3"/>
  <c r="J208" i="3"/>
  <c r="I208" i="3"/>
  <c r="H208" i="3"/>
  <c r="G208" i="3"/>
  <c r="M207" i="3"/>
  <c r="L207" i="3"/>
  <c r="K207" i="3"/>
  <c r="J207" i="3"/>
  <c r="I207" i="3"/>
  <c r="H207" i="3"/>
  <c r="G207" i="3"/>
  <c r="M206" i="3"/>
  <c r="L206" i="3"/>
  <c r="K206" i="3"/>
  <c r="J206" i="3"/>
  <c r="I206" i="3"/>
  <c r="H206" i="3"/>
  <c r="G206" i="3"/>
  <c r="F205" i="3"/>
  <c r="S205" i="3" s="1"/>
  <c r="M204" i="3"/>
  <c r="L204" i="3"/>
  <c r="K204" i="3"/>
  <c r="J204" i="3"/>
  <c r="I204" i="3"/>
  <c r="H204" i="3"/>
  <c r="G204" i="3"/>
  <c r="F203" i="3"/>
  <c r="S203" i="3" s="1"/>
  <c r="M202" i="3"/>
  <c r="L202" i="3"/>
  <c r="K202" i="3"/>
  <c r="J202" i="3"/>
  <c r="I202" i="3"/>
  <c r="H202" i="3"/>
  <c r="G202" i="3"/>
  <c r="M201" i="3"/>
  <c r="L201" i="3"/>
  <c r="K201" i="3"/>
  <c r="J201" i="3"/>
  <c r="I201" i="3"/>
  <c r="H201" i="3"/>
  <c r="G201" i="3"/>
  <c r="F200" i="3"/>
  <c r="S200" i="3" s="1"/>
  <c r="M182" i="3"/>
  <c r="L182" i="3"/>
  <c r="K182" i="3"/>
  <c r="J182" i="3"/>
  <c r="I182" i="3"/>
  <c r="H182" i="3"/>
  <c r="G182" i="3"/>
  <c r="M181" i="3"/>
  <c r="L181" i="3"/>
  <c r="K181" i="3"/>
  <c r="J181" i="3"/>
  <c r="I181" i="3"/>
  <c r="H181" i="3"/>
  <c r="G181" i="3"/>
  <c r="M180" i="3"/>
  <c r="L180" i="3"/>
  <c r="K180" i="3"/>
  <c r="J180" i="3"/>
  <c r="I180" i="3"/>
  <c r="H180" i="3"/>
  <c r="G180" i="3"/>
  <c r="M179" i="3"/>
  <c r="L179" i="3"/>
  <c r="K179" i="3"/>
  <c r="J179" i="3"/>
  <c r="I179" i="3"/>
  <c r="H179" i="3"/>
  <c r="G179" i="3"/>
  <c r="F178" i="3"/>
  <c r="S178" i="3" s="1"/>
  <c r="M177" i="3"/>
  <c r="L177" i="3"/>
  <c r="K177" i="3"/>
  <c r="J177" i="3"/>
  <c r="I177" i="3"/>
  <c r="H177" i="3"/>
  <c r="G177" i="3"/>
  <c r="F176" i="3"/>
  <c r="O176" i="3" s="1"/>
  <c r="M175" i="3"/>
  <c r="L175" i="3"/>
  <c r="K175" i="3"/>
  <c r="J175" i="3"/>
  <c r="I175" i="3"/>
  <c r="H175" i="3"/>
  <c r="G175" i="3"/>
  <c r="M174" i="3"/>
  <c r="L174" i="3"/>
  <c r="K174" i="3"/>
  <c r="J174" i="3"/>
  <c r="I174" i="3"/>
  <c r="H174" i="3"/>
  <c r="G174" i="3"/>
  <c r="F173" i="3"/>
  <c r="S173" i="3" s="1"/>
  <c r="M155" i="3"/>
  <c r="L155" i="3"/>
  <c r="K155" i="3"/>
  <c r="J155" i="3"/>
  <c r="I155" i="3"/>
  <c r="H155" i="3"/>
  <c r="G155" i="3"/>
  <c r="M154" i="3"/>
  <c r="L154" i="3"/>
  <c r="K154" i="3"/>
  <c r="J154" i="3"/>
  <c r="I154" i="3"/>
  <c r="H154" i="3"/>
  <c r="G154" i="3"/>
  <c r="M153" i="3"/>
  <c r="L153" i="3"/>
  <c r="K153" i="3"/>
  <c r="J153" i="3"/>
  <c r="I153" i="3"/>
  <c r="H153" i="3"/>
  <c r="G153" i="3"/>
  <c r="M152" i="3"/>
  <c r="L152" i="3"/>
  <c r="K152" i="3"/>
  <c r="J152" i="3"/>
  <c r="I152" i="3"/>
  <c r="H152" i="3"/>
  <c r="G152" i="3"/>
  <c r="F151" i="3"/>
  <c r="O151" i="3" s="1"/>
  <c r="M150" i="3"/>
  <c r="L150" i="3"/>
  <c r="K150" i="3"/>
  <c r="J150" i="3"/>
  <c r="I150" i="3"/>
  <c r="H150" i="3"/>
  <c r="G150" i="3"/>
  <c r="F149" i="3"/>
  <c r="O149" i="3" s="1"/>
  <c r="M148" i="3"/>
  <c r="L148" i="3"/>
  <c r="K148" i="3"/>
  <c r="J148" i="3"/>
  <c r="I148" i="3"/>
  <c r="H148" i="3"/>
  <c r="G148" i="3"/>
  <c r="M147" i="3"/>
  <c r="L147" i="3"/>
  <c r="K147" i="3"/>
  <c r="J147" i="3"/>
  <c r="I147" i="3"/>
  <c r="H147" i="3"/>
  <c r="G147" i="3"/>
  <c r="F146" i="3"/>
  <c r="S146" i="3" s="1"/>
  <c r="F124" i="3"/>
  <c r="S124" i="3" s="1"/>
  <c r="M128" i="3"/>
  <c r="L128" i="3"/>
  <c r="K128" i="3"/>
  <c r="J128" i="3"/>
  <c r="I128" i="3"/>
  <c r="H128" i="3"/>
  <c r="G128" i="3"/>
  <c r="M127" i="3"/>
  <c r="L127" i="3"/>
  <c r="K127" i="3"/>
  <c r="J127" i="3"/>
  <c r="I127" i="3"/>
  <c r="H127" i="3"/>
  <c r="G127" i="3"/>
  <c r="F127" i="3" s="1"/>
  <c r="S127" i="3" s="1"/>
  <c r="M126" i="3"/>
  <c r="L126" i="3"/>
  <c r="K126" i="3"/>
  <c r="J126" i="3"/>
  <c r="I126" i="3"/>
  <c r="H126" i="3"/>
  <c r="G126" i="3"/>
  <c r="M125" i="3"/>
  <c r="L125" i="3"/>
  <c r="K125" i="3"/>
  <c r="J125" i="3"/>
  <c r="I125" i="3"/>
  <c r="H125" i="3"/>
  <c r="G125" i="3"/>
  <c r="F122" i="3"/>
  <c r="O122" i="3" s="1"/>
  <c r="M123" i="3"/>
  <c r="L123" i="3"/>
  <c r="K123" i="3"/>
  <c r="J123" i="3"/>
  <c r="I123" i="3"/>
  <c r="H123" i="3"/>
  <c r="G123" i="3"/>
  <c r="F121" i="3"/>
  <c r="F119" i="3"/>
  <c r="S119" i="3" s="1"/>
  <c r="M121" i="3"/>
  <c r="L121" i="3"/>
  <c r="K121" i="3"/>
  <c r="J121" i="3"/>
  <c r="I121" i="3"/>
  <c r="H121" i="3"/>
  <c r="G121" i="3"/>
  <c r="M120" i="3"/>
  <c r="L120" i="3"/>
  <c r="K120" i="3"/>
  <c r="J120" i="3"/>
  <c r="I120" i="3"/>
  <c r="H120" i="3"/>
  <c r="G120" i="3"/>
  <c r="F97" i="3"/>
  <c r="O97" i="3" s="1"/>
  <c r="M101" i="3"/>
  <c r="L101" i="3"/>
  <c r="K101" i="3"/>
  <c r="J101" i="3"/>
  <c r="I101" i="3"/>
  <c r="H101" i="3"/>
  <c r="G101" i="3"/>
  <c r="M100" i="3"/>
  <c r="L100" i="3"/>
  <c r="K100" i="3"/>
  <c r="J100" i="3"/>
  <c r="I100" i="3"/>
  <c r="H100" i="3"/>
  <c r="G100" i="3"/>
  <c r="F100" i="3" s="1"/>
  <c r="S100" i="3" s="1"/>
  <c r="M99" i="3"/>
  <c r="L99" i="3"/>
  <c r="K99" i="3"/>
  <c r="J99" i="3"/>
  <c r="I99" i="3"/>
  <c r="H99" i="3"/>
  <c r="G99" i="3"/>
  <c r="M98" i="3"/>
  <c r="L98" i="3"/>
  <c r="K98" i="3"/>
  <c r="J98" i="3"/>
  <c r="I98" i="3"/>
  <c r="H98" i="3"/>
  <c r="G98" i="3"/>
  <c r="F95" i="3"/>
  <c r="S95" i="3" s="1"/>
  <c r="M96" i="3"/>
  <c r="L96" i="3"/>
  <c r="K96" i="3"/>
  <c r="J96" i="3"/>
  <c r="I96" i="3"/>
  <c r="H96" i="3"/>
  <c r="G96" i="3"/>
  <c r="J94" i="3"/>
  <c r="F92" i="3"/>
  <c r="O92" i="3" s="1"/>
  <c r="M94" i="3"/>
  <c r="L94" i="3"/>
  <c r="K94" i="3"/>
  <c r="I94" i="3"/>
  <c r="H94" i="3"/>
  <c r="G94" i="3"/>
  <c r="F94" i="3" s="1"/>
  <c r="M93" i="3"/>
  <c r="L93" i="3"/>
  <c r="K93" i="3"/>
  <c r="J93" i="3"/>
  <c r="I93" i="3"/>
  <c r="H93" i="3"/>
  <c r="G93" i="3"/>
  <c r="F70" i="3"/>
  <c r="O70" i="3" s="1"/>
  <c r="M74" i="3"/>
  <c r="L74" i="3"/>
  <c r="K74" i="3"/>
  <c r="J74" i="3"/>
  <c r="I74" i="3"/>
  <c r="H74" i="3"/>
  <c r="G74" i="3"/>
  <c r="M73" i="3"/>
  <c r="L73" i="3"/>
  <c r="K73" i="3"/>
  <c r="J73" i="3"/>
  <c r="I73" i="3"/>
  <c r="H73" i="3"/>
  <c r="G73" i="3"/>
  <c r="F73" i="3" s="1"/>
  <c r="S73" i="3" s="1"/>
  <c r="M72" i="3"/>
  <c r="L72" i="3"/>
  <c r="K72" i="3"/>
  <c r="J72" i="3"/>
  <c r="I72" i="3"/>
  <c r="H72" i="3"/>
  <c r="G72" i="3"/>
  <c r="M71" i="3"/>
  <c r="L71" i="3"/>
  <c r="K71" i="3"/>
  <c r="J71" i="3"/>
  <c r="I71" i="3"/>
  <c r="H71" i="3"/>
  <c r="G71" i="3"/>
  <c r="F67" i="3"/>
  <c r="S67" i="3" s="1"/>
  <c r="M69" i="3"/>
  <c r="L69" i="3"/>
  <c r="K69" i="3"/>
  <c r="J69" i="3"/>
  <c r="I69" i="3"/>
  <c r="H69" i="3"/>
  <c r="G69" i="3"/>
  <c r="F69" i="3" s="1"/>
  <c r="M68" i="3"/>
  <c r="L68" i="3"/>
  <c r="K68" i="3"/>
  <c r="J68" i="3"/>
  <c r="I68" i="3"/>
  <c r="H68" i="3"/>
  <c r="G68" i="3"/>
  <c r="F262" i="3" l="1"/>
  <c r="S262" i="3" s="1"/>
  <c r="F148" i="3"/>
  <c r="F208" i="3"/>
  <c r="S208" i="3" s="1"/>
  <c r="F256" i="3"/>
  <c r="F175" i="3"/>
  <c r="F289" i="3"/>
  <c r="S289" i="3" s="1"/>
  <c r="F154" i="3"/>
  <c r="S154" i="3" s="1"/>
  <c r="F235" i="3"/>
  <c r="S235" i="3" s="1"/>
  <c r="F310" i="3"/>
  <c r="F202" i="3"/>
  <c r="F364" i="3"/>
  <c r="F181" i="3"/>
  <c r="Q181" i="3" s="1"/>
  <c r="F283" i="3"/>
  <c r="F316" i="3"/>
  <c r="S316" i="3" s="1"/>
  <c r="O95" i="3"/>
  <c r="O227" i="3"/>
  <c r="O200" i="3"/>
  <c r="S151" i="3"/>
  <c r="O257" i="3"/>
  <c r="O367" i="3"/>
  <c r="S97" i="3"/>
  <c r="O313" i="3"/>
  <c r="S308" i="3"/>
  <c r="O205" i="3"/>
  <c r="S254" i="3"/>
  <c r="S230" i="3"/>
  <c r="S176" i="3"/>
  <c r="O340" i="3"/>
  <c r="O178" i="3"/>
  <c r="O67" i="3"/>
  <c r="O173" i="3"/>
  <c r="S122" i="3"/>
  <c r="O146" i="3"/>
  <c r="S365" i="3"/>
  <c r="O203" i="3"/>
  <c r="O119" i="3"/>
  <c r="S311" i="3"/>
  <c r="S92" i="3"/>
  <c r="S286" i="3"/>
  <c r="S232" i="3"/>
  <c r="S335" i="3"/>
  <c r="O124" i="3"/>
  <c r="O338" i="3"/>
  <c r="O362" i="3"/>
  <c r="S281" i="3"/>
  <c r="S149" i="3"/>
  <c r="O259" i="3"/>
  <c r="S70" i="3"/>
  <c r="O284" i="3"/>
  <c r="Q127" i="3"/>
  <c r="Q73" i="3"/>
  <c r="F261" i="3"/>
  <c r="Q261" i="3" s="1"/>
  <c r="F93" i="3"/>
  <c r="Q289" i="3"/>
  <c r="F363" i="3"/>
  <c r="Q370" i="3"/>
  <c r="F126" i="3"/>
  <c r="S343" i="3"/>
  <c r="Q262" i="3"/>
  <c r="Q100" i="3"/>
  <c r="F371" i="3"/>
  <c r="F344" i="3"/>
  <c r="F128" i="3"/>
  <c r="F155" i="3"/>
  <c r="F341" i="3"/>
  <c r="F255" i="3"/>
  <c r="F125" i="3"/>
  <c r="F68" i="3"/>
  <c r="F96" i="3"/>
  <c r="F336" i="3"/>
  <c r="F99" i="3"/>
  <c r="F98" i="3"/>
  <c r="F282" i="3"/>
  <c r="F180" i="3"/>
  <c r="F201" i="3"/>
  <c r="F342" i="3"/>
  <c r="F123" i="3"/>
  <c r="F228" i="3"/>
  <c r="F288" i="3"/>
  <c r="F72" i="3"/>
  <c r="F207" i="3"/>
  <c r="F120" i="3"/>
  <c r="F152" i="3"/>
  <c r="F147" i="3"/>
  <c r="F71" i="3"/>
  <c r="F153" i="3"/>
  <c r="F174" i="3"/>
  <c r="F179" i="3"/>
  <c r="F234" i="3"/>
  <c r="F260" i="3"/>
  <c r="F315" i="3"/>
  <c r="F369" i="3"/>
  <c r="F182" i="3"/>
  <c r="F290" i="3"/>
  <c r="F206" i="3"/>
  <c r="F204" i="3"/>
  <c r="F287" i="3"/>
  <c r="F368" i="3"/>
  <c r="F258" i="3"/>
  <c r="F177" i="3"/>
  <c r="F317" i="3"/>
  <c r="F101" i="3"/>
  <c r="F233" i="3"/>
  <c r="F263" i="3"/>
  <c r="F231" i="3"/>
  <c r="F309" i="3"/>
  <c r="F314" i="3"/>
  <c r="F74" i="3"/>
  <c r="F150" i="3"/>
  <c r="F285" i="3"/>
  <c r="F366" i="3"/>
  <c r="F209" i="3"/>
  <c r="F236" i="3"/>
  <c r="F312" i="3"/>
  <c r="F339" i="3"/>
  <c r="J360" i="3"/>
  <c r="I360" i="3"/>
  <c r="H360" i="3"/>
  <c r="G360" i="3"/>
  <c r="J359" i="3"/>
  <c r="I359" i="3"/>
  <c r="H359" i="3"/>
  <c r="G359" i="3"/>
  <c r="J358" i="3"/>
  <c r="I358" i="3"/>
  <c r="H358" i="3"/>
  <c r="G358" i="3"/>
  <c r="J357" i="3"/>
  <c r="I357" i="3"/>
  <c r="H357" i="3"/>
  <c r="G357" i="3"/>
  <c r="F356" i="3"/>
  <c r="J355" i="3"/>
  <c r="I355" i="3"/>
  <c r="H355" i="3"/>
  <c r="G355" i="3"/>
  <c r="J354" i="3"/>
  <c r="I354" i="3"/>
  <c r="H354" i="3"/>
  <c r="G354" i="3"/>
  <c r="J353" i="3"/>
  <c r="I353" i="3"/>
  <c r="H353" i="3"/>
  <c r="G353" i="3"/>
  <c r="J352" i="3"/>
  <c r="I352" i="3"/>
  <c r="H352" i="3"/>
  <c r="G352" i="3"/>
  <c r="F351" i="3"/>
  <c r="J350" i="3"/>
  <c r="I350" i="3"/>
  <c r="H350" i="3"/>
  <c r="G350" i="3"/>
  <c r="J349" i="3"/>
  <c r="I349" i="3"/>
  <c r="H349" i="3"/>
  <c r="G349" i="3"/>
  <c r="J348" i="3"/>
  <c r="I348" i="3"/>
  <c r="H348" i="3"/>
  <c r="G348" i="3"/>
  <c r="F347" i="3"/>
  <c r="J333" i="3"/>
  <c r="I333" i="3"/>
  <c r="H333" i="3"/>
  <c r="G333" i="3"/>
  <c r="J332" i="3"/>
  <c r="I332" i="3"/>
  <c r="H332" i="3"/>
  <c r="G332" i="3"/>
  <c r="J331" i="3"/>
  <c r="I331" i="3"/>
  <c r="H331" i="3"/>
  <c r="G331" i="3"/>
  <c r="J330" i="3"/>
  <c r="I330" i="3"/>
  <c r="H330" i="3"/>
  <c r="G330" i="3"/>
  <c r="F329" i="3"/>
  <c r="J328" i="3"/>
  <c r="I328" i="3"/>
  <c r="H328" i="3"/>
  <c r="G328" i="3"/>
  <c r="J327" i="3"/>
  <c r="I327" i="3"/>
  <c r="H327" i="3"/>
  <c r="G327" i="3"/>
  <c r="J326" i="3"/>
  <c r="I326" i="3"/>
  <c r="H326" i="3"/>
  <c r="G326" i="3"/>
  <c r="J325" i="3"/>
  <c r="I325" i="3"/>
  <c r="H325" i="3"/>
  <c r="G325" i="3"/>
  <c r="F324" i="3"/>
  <c r="J323" i="3"/>
  <c r="I323" i="3"/>
  <c r="H323" i="3"/>
  <c r="G323" i="3"/>
  <c r="J322" i="3"/>
  <c r="I322" i="3"/>
  <c r="H322" i="3"/>
  <c r="G322" i="3"/>
  <c r="J321" i="3"/>
  <c r="I321" i="3"/>
  <c r="H321" i="3"/>
  <c r="G321" i="3"/>
  <c r="F320" i="3"/>
  <c r="M306" i="3"/>
  <c r="L306" i="3"/>
  <c r="K306" i="3"/>
  <c r="J306" i="3"/>
  <c r="I306" i="3"/>
  <c r="H306" i="3"/>
  <c r="G306" i="3"/>
  <c r="M305" i="3"/>
  <c r="L305" i="3"/>
  <c r="K305" i="3"/>
  <c r="J305" i="3"/>
  <c r="I305" i="3"/>
  <c r="H305" i="3"/>
  <c r="G305" i="3"/>
  <c r="M304" i="3"/>
  <c r="L304" i="3"/>
  <c r="K304" i="3"/>
  <c r="J304" i="3"/>
  <c r="I304" i="3"/>
  <c r="H304" i="3"/>
  <c r="G304" i="3"/>
  <c r="M303" i="3"/>
  <c r="L303" i="3"/>
  <c r="K303" i="3"/>
  <c r="J303" i="3"/>
  <c r="I303" i="3"/>
  <c r="H303" i="3"/>
  <c r="G303" i="3"/>
  <c r="F302" i="3"/>
  <c r="M301" i="3"/>
  <c r="L301" i="3"/>
  <c r="K301" i="3"/>
  <c r="J301" i="3"/>
  <c r="I301" i="3"/>
  <c r="H301" i="3"/>
  <c r="G301" i="3"/>
  <c r="M300" i="3"/>
  <c r="L300" i="3"/>
  <c r="K300" i="3"/>
  <c r="J300" i="3"/>
  <c r="I300" i="3"/>
  <c r="H300" i="3"/>
  <c r="G300" i="3"/>
  <c r="M299" i="3"/>
  <c r="L299" i="3"/>
  <c r="K299" i="3"/>
  <c r="J299" i="3"/>
  <c r="I299" i="3"/>
  <c r="H299" i="3"/>
  <c r="G299" i="3"/>
  <c r="M298" i="3"/>
  <c r="L298" i="3"/>
  <c r="K298" i="3"/>
  <c r="J298" i="3"/>
  <c r="I298" i="3"/>
  <c r="H298" i="3"/>
  <c r="G298" i="3"/>
  <c r="F297" i="3"/>
  <c r="M296" i="3"/>
  <c r="L296" i="3"/>
  <c r="K296" i="3"/>
  <c r="J296" i="3"/>
  <c r="I296" i="3"/>
  <c r="H296" i="3"/>
  <c r="G296" i="3"/>
  <c r="M295" i="3"/>
  <c r="L295" i="3"/>
  <c r="K295" i="3"/>
  <c r="J295" i="3"/>
  <c r="I295" i="3"/>
  <c r="H295" i="3"/>
  <c r="G295" i="3"/>
  <c r="M294" i="3"/>
  <c r="L294" i="3"/>
  <c r="K294" i="3"/>
  <c r="J294" i="3"/>
  <c r="I294" i="3"/>
  <c r="H294" i="3"/>
  <c r="G294" i="3"/>
  <c r="F293" i="3"/>
  <c r="M279" i="3"/>
  <c r="L279" i="3"/>
  <c r="K279" i="3"/>
  <c r="J279" i="3"/>
  <c r="I279" i="3"/>
  <c r="H279" i="3"/>
  <c r="G279" i="3"/>
  <c r="M278" i="3"/>
  <c r="L278" i="3"/>
  <c r="K278" i="3"/>
  <c r="J278" i="3"/>
  <c r="I278" i="3"/>
  <c r="H278" i="3"/>
  <c r="G278" i="3"/>
  <c r="M277" i="3"/>
  <c r="L277" i="3"/>
  <c r="K277" i="3"/>
  <c r="J277" i="3"/>
  <c r="I277" i="3"/>
  <c r="H277" i="3"/>
  <c r="G277" i="3"/>
  <c r="M276" i="3"/>
  <c r="L276" i="3"/>
  <c r="K276" i="3"/>
  <c r="J276" i="3"/>
  <c r="I276" i="3"/>
  <c r="H276" i="3"/>
  <c r="G276" i="3"/>
  <c r="F275" i="3"/>
  <c r="M274" i="3"/>
  <c r="L274" i="3"/>
  <c r="K274" i="3"/>
  <c r="J274" i="3"/>
  <c r="I274" i="3"/>
  <c r="H274" i="3"/>
  <c r="G274" i="3"/>
  <c r="M273" i="3"/>
  <c r="L273" i="3"/>
  <c r="K273" i="3"/>
  <c r="J273" i="3"/>
  <c r="I273" i="3"/>
  <c r="H273" i="3"/>
  <c r="G273" i="3"/>
  <c r="M272" i="3"/>
  <c r="L272" i="3"/>
  <c r="K272" i="3"/>
  <c r="J272" i="3"/>
  <c r="I272" i="3"/>
  <c r="H272" i="3"/>
  <c r="G272" i="3"/>
  <c r="M271" i="3"/>
  <c r="L271" i="3"/>
  <c r="K271" i="3"/>
  <c r="J271" i="3"/>
  <c r="I271" i="3"/>
  <c r="H271" i="3"/>
  <c r="G271" i="3"/>
  <c r="F270" i="3"/>
  <c r="M269" i="3"/>
  <c r="L269" i="3"/>
  <c r="K269" i="3"/>
  <c r="J269" i="3"/>
  <c r="I269" i="3"/>
  <c r="H269" i="3"/>
  <c r="F269" i="3" s="1"/>
  <c r="G269" i="3"/>
  <c r="M268" i="3"/>
  <c r="L268" i="3"/>
  <c r="K268" i="3"/>
  <c r="J268" i="3"/>
  <c r="I268" i="3"/>
  <c r="H268" i="3"/>
  <c r="G268" i="3"/>
  <c r="M267" i="3"/>
  <c r="L267" i="3"/>
  <c r="K267" i="3"/>
  <c r="J267" i="3"/>
  <c r="I267" i="3"/>
  <c r="H267" i="3"/>
  <c r="G267" i="3"/>
  <c r="F266" i="3"/>
  <c r="M252" i="3"/>
  <c r="L252" i="3"/>
  <c r="K252" i="3"/>
  <c r="J252" i="3"/>
  <c r="I252" i="3"/>
  <c r="H252" i="3"/>
  <c r="G252" i="3"/>
  <c r="M251" i="3"/>
  <c r="L251" i="3"/>
  <c r="K251" i="3"/>
  <c r="J251" i="3"/>
  <c r="I251" i="3"/>
  <c r="H251" i="3"/>
  <c r="G251" i="3"/>
  <c r="M250" i="3"/>
  <c r="L250" i="3"/>
  <c r="K250" i="3"/>
  <c r="J250" i="3"/>
  <c r="I250" i="3"/>
  <c r="H250" i="3"/>
  <c r="G250" i="3"/>
  <c r="M249" i="3"/>
  <c r="L249" i="3"/>
  <c r="K249" i="3"/>
  <c r="J249" i="3"/>
  <c r="I249" i="3"/>
  <c r="H249" i="3"/>
  <c r="G249" i="3"/>
  <c r="F248" i="3"/>
  <c r="M247" i="3"/>
  <c r="L247" i="3"/>
  <c r="K247" i="3"/>
  <c r="J247" i="3"/>
  <c r="I247" i="3"/>
  <c r="H247" i="3"/>
  <c r="G247" i="3"/>
  <c r="M246" i="3"/>
  <c r="L246" i="3"/>
  <c r="K246" i="3"/>
  <c r="J246" i="3"/>
  <c r="I246" i="3"/>
  <c r="H246" i="3"/>
  <c r="G246" i="3"/>
  <c r="M245" i="3"/>
  <c r="L245" i="3"/>
  <c r="K245" i="3"/>
  <c r="J245" i="3"/>
  <c r="I245" i="3"/>
  <c r="H245" i="3"/>
  <c r="G245" i="3"/>
  <c r="M244" i="3"/>
  <c r="L244" i="3"/>
  <c r="K244" i="3"/>
  <c r="J244" i="3"/>
  <c r="I244" i="3"/>
  <c r="H244" i="3"/>
  <c r="G244" i="3"/>
  <c r="F243" i="3"/>
  <c r="M242" i="3"/>
  <c r="L242" i="3"/>
  <c r="K242" i="3"/>
  <c r="J242" i="3"/>
  <c r="I242" i="3"/>
  <c r="H242" i="3"/>
  <c r="G242" i="3"/>
  <c r="M241" i="3"/>
  <c r="L241" i="3"/>
  <c r="K241" i="3"/>
  <c r="J241" i="3"/>
  <c r="I241" i="3"/>
  <c r="H241" i="3"/>
  <c r="G241" i="3"/>
  <c r="M240" i="3"/>
  <c r="L240" i="3"/>
  <c r="K240" i="3"/>
  <c r="J240" i="3"/>
  <c r="I240" i="3"/>
  <c r="H240" i="3"/>
  <c r="G240" i="3"/>
  <c r="F239" i="3"/>
  <c r="M225" i="3"/>
  <c r="L225" i="3"/>
  <c r="K225" i="3"/>
  <c r="J225" i="3"/>
  <c r="I225" i="3"/>
  <c r="H225" i="3"/>
  <c r="G225" i="3"/>
  <c r="M224" i="3"/>
  <c r="L224" i="3"/>
  <c r="K224" i="3"/>
  <c r="J224" i="3"/>
  <c r="I224" i="3"/>
  <c r="H224" i="3"/>
  <c r="G224" i="3"/>
  <c r="M223" i="3"/>
  <c r="L223" i="3"/>
  <c r="K223" i="3"/>
  <c r="J223" i="3"/>
  <c r="I223" i="3"/>
  <c r="H223" i="3"/>
  <c r="G223" i="3"/>
  <c r="M222" i="3"/>
  <c r="L222" i="3"/>
  <c r="K222" i="3"/>
  <c r="J222" i="3"/>
  <c r="I222" i="3"/>
  <c r="H222" i="3"/>
  <c r="G222" i="3"/>
  <c r="F221" i="3"/>
  <c r="M220" i="3"/>
  <c r="L220" i="3"/>
  <c r="K220" i="3"/>
  <c r="J220" i="3"/>
  <c r="I220" i="3"/>
  <c r="H220" i="3"/>
  <c r="G220" i="3"/>
  <c r="M219" i="3"/>
  <c r="L219" i="3"/>
  <c r="K219" i="3"/>
  <c r="J219" i="3"/>
  <c r="I219" i="3"/>
  <c r="H219" i="3"/>
  <c r="G219" i="3"/>
  <c r="M218" i="3"/>
  <c r="L218" i="3"/>
  <c r="K218" i="3"/>
  <c r="J218" i="3"/>
  <c r="I218" i="3"/>
  <c r="H218" i="3"/>
  <c r="G218" i="3"/>
  <c r="M217" i="3"/>
  <c r="L217" i="3"/>
  <c r="K217" i="3"/>
  <c r="J217" i="3"/>
  <c r="I217" i="3"/>
  <c r="H217" i="3"/>
  <c r="G217" i="3"/>
  <c r="F216" i="3"/>
  <c r="M215" i="3"/>
  <c r="L215" i="3"/>
  <c r="K215" i="3"/>
  <c r="J215" i="3"/>
  <c r="I215" i="3"/>
  <c r="H215" i="3"/>
  <c r="G215" i="3"/>
  <c r="M214" i="3"/>
  <c r="L214" i="3"/>
  <c r="K214" i="3"/>
  <c r="J214" i="3"/>
  <c r="I214" i="3"/>
  <c r="H214" i="3"/>
  <c r="G214" i="3"/>
  <c r="M213" i="3"/>
  <c r="L213" i="3"/>
  <c r="K213" i="3"/>
  <c r="J213" i="3"/>
  <c r="I213" i="3"/>
  <c r="H213" i="3"/>
  <c r="G213" i="3"/>
  <c r="F212" i="3"/>
  <c r="M198" i="3"/>
  <c r="L198" i="3"/>
  <c r="K198" i="3"/>
  <c r="J198" i="3"/>
  <c r="I198" i="3"/>
  <c r="H198" i="3"/>
  <c r="G198" i="3"/>
  <c r="M197" i="3"/>
  <c r="L197" i="3"/>
  <c r="K197" i="3"/>
  <c r="J197" i="3"/>
  <c r="I197" i="3"/>
  <c r="H197" i="3"/>
  <c r="G197" i="3"/>
  <c r="M196" i="3"/>
  <c r="L196" i="3"/>
  <c r="K196" i="3"/>
  <c r="J196" i="3"/>
  <c r="I196" i="3"/>
  <c r="H196" i="3"/>
  <c r="G196" i="3"/>
  <c r="M195" i="3"/>
  <c r="L195" i="3"/>
  <c r="K195" i="3"/>
  <c r="J195" i="3"/>
  <c r="I195" i="3"/>
  <c r="H195" i="3"/>
  <c r="G195" i="3"/>
  <c r="F194" i="3"/>
  <c r="M193" i="3"/>
  <c r="L193" i="3"/>
  <c r="K193" i="3"/>
  <c r="J193" i="3"/>
  <c r="I193" i="3"/>
  <c r="H193" i="3"/>
  <c r="G193" i="3"/>
  <c r="M192" i="3"/>
  <c r="L192" i="3"/>
  <c r="K192" i="3"/>
  <c r="J192" i="3"/>
  <c r="I192" i="3"/>
  <c r="H192" i="3"/>
  <c r="G192" i="3"/>
  <c r="M191" i="3"/>
  <c r="L191" i="3"/>
  <c r="K191" i="3"/>
  <c r="J191" i="3"/>
  <c r="I191" i="3"/>
  <c r="H191" i="3"/>
  <c r="G191" i="3"/>
  <c r="M190" i="3"/>
  <c r="L190" i="3"/>
  <c r="K190" i="3"/>
  <c r="J190" i="3"/>
  <c r="I190" i="3"/>
  <c r="H190" i="3"/>
  <c r="G190" i="3"/>
  <c r="F189" i="3"/>
  <c r="M188" i="3"/>
  <c r="L188" i="3"/>
  <c r="K188" i="3"/>
  <c r="J188" i="3"/>
  <c r="I188" i="3"/>
  <c r="H188" i="3"/>
  <c r="G188" i="3"/>
  <c r="M187" i="3"/>
  <c r="L187" i="3"/>
  <c r="K187" i="3"/>
  <c r="J187" i="3"/>
  <c r="I187" i="3"/>
  <c r="H187" i="3"/>
  <c r="G187" i="3"/>
  <c r="M186" i="3"/>
  <c r="L186" i="3"/>
  <c r="K186" i="3"/>
  <c r="J186" i="3"/>
  <c r="I186" i="3"/>
  <c r="H186" i="3"/>
  <c r="G186" i="3"/>
  <c r="F185" i="3"/>
  <c r="M171" i="3"/>
  <c r="L171" i="3"/>
  <c r="K171" i="3"/>
  <c r="J171" i="3"/>
  <c r="I171" i="3"/>
  <c r="H171" i="3"/>
  <c r="G171" i="3"/>
  <c r="M170" i="3"/>
  <c r="L170" i="3"/>
  <c r="K170" i="3"/>
  <c r="J170" i="3"/>
  <c r="I170" i="3"/>
  <c r="H170" i="3"/>
  <c r="G170" i="3"/>
  <c r="M169" i="3"/>
  <c r="L169" i="3"/>
  <c r="K169" i="3"/>
  <c r="J169" i="3"/>
  <c r="I169" i="3"/>
  <c r="H169" i="3"/>
  <c r="G169" i="3"/>
  <c r="M168" i="3"/>
  <c r="L168" i="3"/>
  <c r="K168" i="3"/>
  <c r="J168" i="3"/>
  <c r="I168" i="3"/>
  <c r="H168" i="3"/>
  <c r="G168" i="3"/>
  <c r="F167" i="3"/>
  <c r="M166" i="3"/>
  <c r="L166" i="3"/>
  <c r="K166" i="3"/>
  <c r="J166" i="3"/>
  <c r="I166" i="3"/>
  <c r="H166" i="3"/>
  <c r="G166" i="3"/>
  <c r="M165" i="3"/>
  <c r="L165" i="3"/>
  <c r="K165" i="3"/>
  <c r="J165" i="3"/>
  <c r="I165" i="3"/>
  <c r="H165" i="3"/>
  <c r="G165" i="3"/>
  <c r="M164" i="3"/>
  <c r="L164" i="3"/>
  <c r="K164" i="3"/>
  <c r="J164" i="3"/>
  <c r="I164" i="3"/>
  <c r="H164" i="3"/>
  <c r="G164" i="3"/>
  <c r="M163" i="3"/>
  <c r="L163" i="3"/>
  <c r="K163" i="3"/>
  <c r="J163" i="3"/>
  <c r="I163" i="3"/>
  <c r="H163" i="3"/>
  <c r="G163" i="3"/>
  <c r="F162" i="3"/>
  <c r="M161" i="3"/>
  <c r="L161" i="3"/>
  <c r="K161" i="3"/>
  <c r="J161" i="3"/>
  <c r="I161" i="3"/>
  <c r="H161" i="3"/>
  <c r="G161" i="3"/>
  <c r="F161" i="3" s="1"/>
  <c r="M160" i="3"/>
  <c r="L160" i="3"/>
  <c r="K160" i="3"/>
  <c r="J160" i="3"/>
  <c r="I160" i="3"/>
  <c r="H160" i="3"/>
  <c r="G160" i="3"/>
  <c r="M159" i="3"/>
  <c r="L159" i="3"/>
  <c r="K159" i="3"/>
  <c r="J159" i="3"/>
  <c r="I159" i="3"/>
  <c r="H159" i="3"/>
  <c r="G159" i="3"/>
  <c r="F158" i="3"/>
  <c r="M144" i="3"/>
  <c r="L144" i="3"/>
  <c r="K144" i="3"/>
  <c r="J144" i="3"/>
  <c r="I144" i="3"/>
  <c r="H144" i="3"/>
  <c r="G144" i="3"/>
  <c r="M143" i="3"/>
  <c r="L143" i="3"/>
  <c r="K143" i="3"/>
  <c r="J143" i="3"/>
  <c r="I143" i="3"/>
  <c r="H143" i="3"/>
  <c r="G143" i="3"/>
  <c r="M142" i="3"/>
  <c r="L142" i="3"/>
  <c r="K142" i="3"/>
  <c r="J142" i="3"/>
  <c r="I142" i="3"/>
  <c r="H142" i="3"/>
  <c r="G142" i="3"/>
  <c r="M141" i="3"/>
  <c r="L141" i="3"/>
  <c r="K141" i="3"/>
  <c r="J141" i="3"/>
  <c r="I141" i="3"/>
  <c r="H141" i="3"/>
  <c r="G141" i="3"/>
  <c r="F140" i="3"/>
  <c r="M139" i="3"/>
  <c r="L139" i="3"/>
  <c r="K139" i="3"/>
  <c r="J139" i="3"/>
  <c r="I139" i="3"/>
  <c r="H139" i="3"/>
  <c r="G139" i="3"/>
  <c r="M138" i="3"/>
  <c r="L138" i="3"/>
  <c r="K138" i="3"/>
  <c r="J138" i="3"/>
  <c r="I138" i="3"/>
  <c r="H138" i="3"/>
  <c r="G138" i="3"/>
  <c r="M137" i="3"/>
  <c r="L137" i="3"/>
  <c r="K137" i="3"/>
  <c r="J137" i="3"/>
  <c r="I137" i="3"/>
  <c r="H137" i="3"/>
  <c r="G137" i="3"/>
  <c r="M136" i="3"/>
  <c r="L136" i="3"/>
  <c r="K136" i="3"/>
  <c r="J136" i="3"/>
  <c r="I136" i="3"/>
  <c r="H136" i="3"/>
  <c r="G136" i="3"/>
  <c r="F135" i="3"/>
  <c r="M134" i="3"/>
  <c r="L134" i="3"/>
  <c r="K134" i="3"/>
  <c r="J134" i="3"/>
  <c r="I134" i="3"/>
  <c r="H134" i="3"/>
  <c r="G134" i="3"/>
  <c r="M133" i="3"/>
  <c r="L133" i="3"/>
  <c r="K133" i="3"/>
  <c r="J133" i="3"/>
  <c r="I133" i="3"/>
  <c r="H133" i="3"/>
  <c r="G133" i="3"/>
  <c r="M132" i="3"/>
  <c r="L132" i="3"/>
  <c r="K132" i="3"/>
  <c r="J132" i="3"/>
  <c r="I132" i="3"/>
  <c r="H132" i="3"/>
  <c r="G132" i="3"/>
  <c r="F131" i="3"/>
  <c r="M117" i="3"/>
  <c r="L117" i="3"/>
  <c r="K117" i="3"/>
  <c r="J117" i="3"/>
  <c r="I117" i="3"/>
  <c r="H117" i="3"/>
  <c r="G117" i="3"/>
  <c r="M116" i="3"/>
  <c r="L116" i="3"/>
  <c r="K116" i="3"/>
  <c r="J116" i="3"/>
  <c r="I116" i="3"/>
  <c r="H116" i="3"/>
  <c r="G116" i="3"/>
  <c r="M115" i="3"/>
  <c r="L115" i="3"/>
  <c r="K115" i="3"/>
  <c r="J115" i="3"/>
  <c r="I115" i="3"/>
  <c r="H115" i="3"/>
  <c r="G115" i="3"/>
  <c r="M114" i="3"/>
  <c r="L114" i="3"/>
  <c r="K114" i="3"/>
  <c r="J114" i="3"/>
  <c r="I114" i="3"/>
  <c r="H114" i="3"/>
  <c r="G114" i="3"/>
  <c r="F113" i="3"/>
  <c r="M112" i="3"/>
  <c r="L112" i="3"/>
  <c r="K112" i="3"/>
  <c r="J112" i="3"/>
  <c r="I112" i="3"/>
  <c r="H112" i="3"/>
  <c r="G112" i="3"/>
  <c r="M111" i="3"/>
  <c r="L111" i="3"/>
  <c r="K111" i="3"/>
  <c r="J111" i="3"/>
  <c r="I111" i="3"/>
  <c r="H111" i="3"/>
  <c r="G111" i="3"/>
  <c r="M110" i="3"/>
  <c r="L110" i="3"/>
  <c r="K110" i="3"/>
  <c r="J110" i="3"/>
  <c r="I110" i="3"/>
  <c r="H110" i="3"/>
  <c r="G110" i="3"/>
  <c r="M109" i="3"/>
  <c r="L109" i="3"/>
  <c r="K109" i="3"/>
  <c r="J109" i="3"/>
  <c r="I109" i="3"/>
  <c r="H109" i="3"/>
  <c r="G109" i="3"/>
  <c r="F108" i="3"/>
  <c r="M107" i="3"/>
  <c r="L107" i="3"/>
  <c r="K107" i="3"/>
  <c r="J107" i="3"/>
  <c r="I107" i="3"/>
  <c r="H107" i="3"/>
  <c r="G107" i="3"/>
  <c r="M106" i="3"/>
  <c r="L106" i="3"/>
  <c r="K106" i="3"/>
  <c r="J106" i="3"/>
  <c r="I106" i="3"/>
  <c r="H106" i="3"/>
  <c r="G106" i="3"/>
  <c r="M105" i="3"/>
  <c r="L105" i="3"/>
  <c r="K105" i="3"/>
  <c r="J105" i="3"/>
  <c r="I105" i="3"/>
  <c r="H105" i="3"/>
  <c r="G105" i="3"/>
  <c r="F104" i="3"/>
  <c r="F86" i="3"/>
  <c r="M90" i="3"/>
  <c r="L90" i="3"/>
  <c r="K90" i="3"/>
  <c r="J90" i="3"/>
  <c r="I90" i="3"/>
  <c r="H90" i="3"/>
  <c r="G90" i="3"/>
  <c r="M89" i="3"/>
  <c r="L89" i="3"/>
  <c r="K89" i="3"/>
  <c r="J89" i="3"/>
  <c r="I89" i="3"/>
  <c r="H89" i="3"/>
  <c r="G89" i="3"/>
  <c r="M88" i="3"/>
  <c r="L88" i="3"/>
  <c r="K88" i="3"/>
  <c r="J88" i="3"/>
  <c r="I88" i="3"/>
  <c r="H88" i="3"/>
  <c r="G88" i="3"/>
  <c r="M87" i="3"/>
  <c r="L87" i="3"/>
  <c r="K87" i="3"/>
  <c r="J87" i="3"/>
  <c r="I87" i="3"/>
  <c r="H87" i="3"/>
  <c r="G87" i="3"/>
  <c r="F81" i="3"/>
  <c r="M85" i="3"/>
  <c r="L85" i="3"/>
  <c r="K85" i="3"/>
  <c r="J85" i="3"/>
  <c r="I85" i="3"/>
  <c r="H85" i="3"/>
  <c r="G85" i="3"/>
  <c r="M84" i="3"/>
  <c r="L84" i="3"/>
  <c r="K84" i="3"/>
  <c r="J84" i="3"/>
  <c r="I84" i="3"/>
  <c r="H84" i="3"/>
  <c r="G84" i="3"/>
  <c r="M83" i="3"/>
  <c r="L83" i="3"/>
  <c r="K83" i="3"/>
  <c r="J83" i="3"/>
  <c r="I83" i="3"/>
  <c r="H83" i="3"/>
  <c r="G83" i="3"/>
  <c r="M82" i="3"/>
  <c r="L82" i="3"/>
  <c r="K82" i="3"/>
  <c r="J82" i="3"/>
  <c r="I82" i="3"/>
  <c r="H82" i="3"/>
  <c r="G82" i="3"/>
  <c r="F77" i="3"/>
  <c r="M80" i="3"/>
  <c r="L80" i="3"/>
  <c r="K80" i="3"/>
  <c r="J80" i="3"/>
  <c r="I80" i="3"/>
  <c r="H80" i="3"/>
  <c r="G80" i="3"/>
  <c r="F80" i="3" s="1"/>
  <c r="M79" i="3"/>
  <c r="L79" i="3"/>
  <c r="K79" i="3"/>
  <c r="J79" i="3"/>
  <c r="I79" i="3"/>
  <c r="H79" i="3"/>
  <c r="G79" i="3"/>
  <c r="M78" i="3"/>
  <c r="L78" i="3"/>
  <c r="K78" i="3"/>
  <c r="J78" i="3"/>
  <c r="I78" i="3"/>
  <c r="H78" i="3"/>
  <c r="G78" i="3"/>
  <c r="F61" i="3"/>
  <c r="M65" i="3"/>
  <c r="L65" i="3"/>
  <c r="K65" i="3"/>
  <c r="J65" i="3"/>
  <c r="I65" i="3"/>
  <c r="H65" i="3"/>
  <c r="G65" i="3"/>
  <c r="M64" i="3"/>
  <c r="L64" i="3"/>
  <c r="K64" i="3"/>
  <c r="J64" i="3"/>
  <c r="I64" i="3"/>
  <c r="H64" i="3"/>
  <c r="G64" i="3"/>
  <c r="M63" i="3"/>
  <c r="L63" i="3"/>
  <c r="K63" i="3"/>
  <c r="J63" i="3"/>
  <c r="I63" i="3"/>
  <c r="H63" i="3"/>
  <c r="G63" i="3"/>
  <c r="M62" i="3"/>
  <c r="L62" i="3"/>
  <c r="K62" i="3"/>
  <c r="J62" i="3"/>
  <c r="I62" i="3"/>
  <c r="H62" i="3"/>
  <c r="G62" i="3"/>
  <c r="F59" i="3"/>
  <c r="M60" i="3"/>
  <c r="L60" i="3"/>
  <c r="K60" i="3"/>
  <c r="J60" i="3"/>
  <c r="I60" i="3"/>
  <c r="H60" i="3"/>
  <c r="G60" i="3"/>
  <c r="F54" i="3"/>
  <c r="M58" i="3"/>
  <c r="L58" i="3"/>
  <c r="K58" i="3"/>
  <c r="J58" i="3"/>
  <c r="I58" i="3"/>
  <c r="H58" i="3"/>
  <c r="G58" i="3"/>
  <c r="M57" i="3"/>
  <c r="L57" i="3"/>
  <c r="K57" i="3"/>
  <c r="J57" i="3"/>
  <c r="I57" i="3"/>
  <c r="H57" i="3"/>
  <c r="G57" i="3"/>
  <c r="M56" i="3"/>
  <c r="L56" i="3"/>
  <c r="K56" i="3"/>
  <c r="J56" i="3"/>
  <c r="I56" i="3"/>
  <c r="H56" i="3"/>
  <c r="G56" i="3"/>
  <c r="M55" i="3"/>
  <c r="L55" i="3"/>
  <c r="K55" i="3"/>
  <c r="J55" i="3"/>
  <c r="I55" i="3"/>
  <c r="H55" i="3"/>
  <c r="G55" i="3"/>
  <c r="F49" i="3"/>
  <c r="M53" i="3"/>
  <c r="L53" i="3"/>
  <c r="K53" i="3"/>
  <c r="J53" i="3"/>
  <c r="I53" i="3"/>
  <c r="H53" i="3"/>
  <c r="G53" i="3"/>
  <c r="M52" i="3"/>
  <c r="L52" i="3"/>
  <c r="K52" i="3"/>
  <c r="J52" i="3"/>
  <c r="I52" i="3"/>
  <c r="H52" i="3"/>
  <c r="G52" i="3"/>
  <c r="M51" i="3"/>
  <c r="L51" i="3"/>
  <c r="K51" i="3"/>
  <c r="J51" i="3"/>
  <c r="I51" i="3"/>
  <c r="H51" i="3"/>
  <c r="G51" i="3"/>
  <c r="M50" i="3"/>
  <c r="L50" i="3"/>
  <c r="K50" i="3"/>
  <c r="J50" i="3"/>
  <c r="I50" i="3"/>
  <c r="H50" i="3"/>
  <c r="G50" i="3"/>
  <c r="F44" i="3"/>
  <c r="M48" i="3"/>
  <c r="L48" i="3"/>
  <c r="J48" i="3"/>
  <c r="I48" i="3"/>
  <c r="H48" i="3"/>
  <c r="G48" i="3"/>
  <c r="M47" i="3"/>
  <c r="L47" i="3"/>
  <c r="K47" i="3"/>
  <c r="J47" i="3"/>
  <c r="I47" i="3"/>
  <c r="H47" i="3"/>
  <c r="F47" i="3" s="1"/>
  <c r="G47" i="3"/>
  <c r="M46" i="3"/>
  <c r="L46" i="3"/>
  <c r="J46" i="3"/>
  <c r="I46" i="3"/>
  <c r="H46" i="3"/>
  <c r="G46" i="3"/>
  <c r="M45" i="3"/>
  <c r="L45" i="3"/>
  <c r="K45" i="3"/>
  <c r="J45" i="3"/>
  <c r="I45" i="3"/>
  <c r="H45" i="3"/>
  <c r="G45" i="3"/>
  <c r="K44" i="3"/>
  <c r="K48" i="3" s="1"/>
  <c r="G42" i="3"/>
  <c r="M43" i="3"/>
  <c r="L43" i="3"/>
  <c r="K43" i="3"/>
  <c r="J43" i="3"/>
  <c r="I43" i="3"/>
  <c r="H43" i="3"/>
  <c r="G43" i="3"/>
  <c r="F43" i="3" s="1"/>
  <c r="M41" i="3"/>
  <c r="M42" i="3" s="1"/>
  <c r="L41" i="3"/>
  <c r="L42" i="3" s="1"/>
  <c r="K41" i="3"/>
  <c r="K42" i="3" s="1"/>
  <c r="J41" i="3"/>
  <c r="J42" i="3" s="1"/>
  <c r="I41" i="3"/>
  <c r="I42" i="3" s="1"/>
  <c r="H41" i="3"/>
  <c r="H42" i="3" s="1"/>
  <c r="G41" i="3"/>
  <c r="F41" i="3" s="1"/>
  <c r="F32" i="3"/>
  <c r="M38" i="3"/>
  <c r="L38" i="3"/>
  <c r="K38" i="3"/>
  <c r="J38" i="3"/>
  <c r="I38" i="3"/>
  <c r="H38" i="3"/>
  <c r="G38" i="3"/>
  <c r="M36" i="3"/>
  <c r="L36" i="3"/>
  <c r="K36" i="3"/>
  <c r="J36" i="3"/>
  <c r="I36" i="3"/>
  <c r="H36" i="3"/>
  <c r="G36" i="3"/>
  <c r="M35" i="3"/>
  <c r="L35" i="3"/>
  <c r="K35" i="3"/>
  <c r="J35" i="3"/>
  <c r="I35" i="3"/>
  <c r="H35" i="3"/>
  <c r="G35" i="3"/>
  <c r="M34" i="3"/>
  <c r="L34" i="3"/>
  <c r="K34" i="3"/>
  <c r="J34" i="3"/>
  <c r="I34" i="3"/>
  <c r="H34" i="3"/>
  <c r="G34" i="3"/>
  <c r="M33" i="3"/>
  <c r="L33" i="3"/>
  <c r="K33" i="3"/>
  <c r="J33" i="3"/>
  <c r="I33" i="3"/>
  <c r="H33" i="3"/>
  <c r="G33" i="3"/>
  <c r="G31" i="3"/>
  <c r="M25" i="3"/>
  <c r="M31" i="3"/>
  <c r="L31" i="3"/>
  <c r="K31" i="3"/>
  <c r="J31" i="3"/>
  <c r="I31" i="3"/>
  <c r="H31" i="3"/>
  <c r="M30" i="3"/>
  <c r="L30" i="3"/>
  <c r="K30" i="3"/>
  <c r="J30" i="3"/>
  <c r="I30" i="3"/>
  <c r="H30" i="3"/>
  <c r="G30" i="3"/>
  <c r="M29" i="3"/>
  <c r="L29" i="3"/>
  <c r="K29" i="3"/>
  <c r="J29" i="3"/>
  <c r="I29" i="3"/>
  <c r="H29" i="3"/>
  <c r="G29" i="3"/>
  <c r="M28" i="3"/>
  <c r="L28" i="3"/>
  <c r="K28" i="3"/>
  <c r="J28" i="3"/>
  <c r="I28" i="3"/>
  <c r="H28" i="3"/>
  <c r="G28" i="3"/>
  <c r="M27" i="3"/>
  <c r="L27" i="3"/>
  <c r="K27" i="3"/>
  <c r="J27" i="3"/>
  <c r="I27" i="3"/>
  <c r="H27" i="3"/>
  <c r="G27" i="3"/>
  <c r="M26" i="3"/>
  <c r="L26" i="3"/>
  <c r="K26" i="3"/>
  <c r="J26" i="3"/>
  <c r="I26" i="3"/>
  <c r="H26" i="3"/>
  <c r="G26" i="3"/>
  <c r="L25" i="3"/>
  <c r="K25" i="3"/>
  <c r="J25" i="3"/>
  <c r="I25" i="3"/>
  <c r="H25" i="3"/>
  <c r="G25" i="3"/>
  <c r="F24" i="3"/>
  <c r="F19" i="3"/>
  <c r="M23" i="3"/>
  <c r="L23" i="3"/>
  <c r="K23" i="3"/>
  <c r="J23" i="3"/>
  <c r="I23" i="3"/>
  <c r="H23" i="3"/>
  <c r="G23" i="3"/>
  <c r="M22" i="3"/>
  <c r="L22" i="3"/>
  <c r="K22" i="3"/>
  <c r="J22" i="3"/>
  <c r="I22" i="3"/>
  <c r="H22" i="3"/>
  <c r="G22" i="3"/>
  <c r="M21" i="3"/>
  <c r="L21" i="3"/>
  <c r="K21" i="3"/>
  <c r="J21" i="3"/>
  <c r="I21" i="3"/>
  <c r="H21" i="3"/>
  <c r="G21" i="3"/>
  <c r="M20" i="3"/>
  <c r="L20" i="3"/>
  <c r="K20" i="3"/>
  <c r="J20" i="3"/>
  <c r="I20" i="3"/>
  <c r="H20" i="3"/>
  <c r="G20" i="3"/>
  <c r="S181" i="3" l="1"/>
  <c r="Q208" i="3"/>
  <c r="F107" i="3"/>
  <c r="F188" i="3"/>
  <c r="S188" i="3" s="1"/>
  <c r="F242" i="3"/>
  <c r="Q154" i="3"/>
  <c r="F134" i="3"/>
  <c r="F215" i="3"/>
  <c r="Q235" i="3"/>
  <c r="F296" i="3"/>
  <c r="S296" i="3" s="1"/>
  <c r="F350" i="3"/>
  <c r="Q350" i="3" s="1"/>
  <c r="F323" i="3"/>
  <c r="S323" i="3" s="1"/>
  <c r="Q316" i="3"/>
  <c r="S302" i="3"/>
  <c r="O302" i="3"/>
  <c r="S54" i="3"/>
  <c r="O54" i="3"/>
  <c r="S24" i="3"/>
  <c r="O24" i="3"/>
  <c r="S61" i="3"/>
  <c r="O61" i="3"/>
  <c r="S162" i="3"/>
  <c r="O162" i="3"/>
  <c r="S243" i="3"/>
  <c r="O243" i="3"/>
  <c r="S140" i="3"/>
  <c r="O140" i="3"/>
  <c r="S104" i="3"/>
  <c r="O104" i="3"/>
  <c r="O266" i="3"/>
  <c r="S266" i="3"/>
  <c r="O44" i="3"/>
  <c r="S44" i="3"/>
  <c r="O113" i="3"/>
  <c r="S113" i="3"/>
  <c r="O194" i="3"/>
  <c r="S194" i="3"/>
  <c r="S275" i="3"/>
  <c r="O275" i="3"/>
  <c r="S347" i="3"/>
  <c r="O347" i="3"/>
  <c r="S158" i="3"/>
  <c r="O158" i="3"/>
  <c r="S239" i="3"/>
  <c r="O239" i="3"/>
  <c r="S320" i="3"/>
  <c r="O320" i="3"/>
  <c r="S351" i="3"/>
  <c r="O351" i="3"/>
  <c r="O324" i="3"/>
  <c r="S324" i="3"/>
  <c r="S86" i="3"/>
  <c r="O86" i="3"/>
  <c r="S81" i="3"/>
  <c r="O81" i="3"/>
  <c r="O135" i="3"/>
  <c r="S135" i="3"/>
  <c r="S216" i="3"/>
  <c r="O216" i="3"/>
  <c r="O297" i="3"/>
  <c r="S297" i="3"/>
  <c r="S32" i="3"/>
  <c r="O32" i="3"/>
  <c r="O167" i="3"/>
  <c r="S167" i="3"/>
  <c r="O248" i="3"/>
  <c r="S248" i="3"/>
  <c r="O77" i="3"/>
  <c r="S77" i="3"/>
  <c r="S49" i="3"/>
  <c r="O49" i="3"/>
  <c r="O131" i="3"/>
  <c r="S131" i="3"/>
  <c r="S212" i="3"/>
  <c r="O212" i="3"/>
  <c r="S293" i="3"/>
  <c r="O293" i="3"/>
  <c r="S185" i="3"/>
  <c r="O185" i="3"/>
  <c r="S41" i="3"/>
  <c r="O41" i="3"/>
  <c r="O59" i="3"/>
  <c r="S59" i="3"/>
  <c r="S356" i="3"/>
  <c r="O356" i="3"/>
  <c r="O221" i="3"/>
  <c r="S221" i="3"/>
  <c r="O108" i="3"/>
  <c r="S108" i="3"/>
  <c r="O189" i="3"/>
  <c r="S189" i="3"/>
  <c r="O270" i="3"/>
  <c r="S270" i="3"/>
  <c r="S329" i="3"/>
  <c r="O329" i="3"/>
  <c r="S261" i="3"/>
  <c r="F333" i="3"/>
  <c r="Q269" i="3"/>
  <c r="S269" i="3"/>
  <c r="S236" i="3"/>
  <c r="Q236" i="3"/>
  <c r="Q317" i="3"/>
  <c r="S317" i="3"/>
  <c r="Q234" i="3"/>
  <c r="S234" i="3"/>
  <c r="S341" i="3"/>
  <c r="Q341" i="3"/>
  <c r="F352" i="3"/>
  <c r="S209" i="3"/>
  <c r="Q209" i="3"/>
  <c r="Q179" i="3"/>
  <c r="S179" i="3"/>
  <c r="S342" i="3"/>
  <c r="Q342" i="3"/>
  <c r="S155" i="3"/>
  <c r="Q155" i="3"/>
  <c r="S161" i="3"/>
  <c r="Q161" i="3"/>
  <c r="S368" i="3"/>
  <c r="Q368" i="3"/>
  <c r="Q153" i="3"/>
  <c r="S153" i="3"/>
  <c r="S180" i="3"/>
  <c r="Q180" i="3"/>
  <c r="Q344" i="3"/>
  <c r="S344" i="3"/>
  <c r="S242" i="3"/>
  <c r="Q242" i="3"/>
  <c r="Q287" i="3"/>
  <c r="S287" i="3"/>
  <c r="S71" i="3"/>
  <c r="Q71" i="3"/>
  <c r="S371" i="3"/>
  <c r="Q371" i="3"/>
  <c r="S74" i="3"/>
  <c r="Q74" i="3"/>
  <c r="S98" i="3"/>
  <c r="Q98" i="3"/>
  <c r="S128" i="3"/>
  <c r="Q128" i="3"/>
  <c r="Q314" i="3"/>
  <c r="S314" i="3"/>
  <c r="S206" i="3"/>
  <c r="Q206" i="3"/>
  <c r="S152" i="3"/>
  <c r="Q152" i="3"/>
  <c r="Q99" i="3"/>
  <c r="S99" i="3"/>
  <c r="Q126" i="3"/>
  <c r="S126" i="3"/>
  <c r="S134" i="3"/>
  <c r="Q134" i="3"/>
  <c r="Q215" i="3"/>
  <c r="S215" i="3"/>
  <c r="S290" i="3"/>
  <c r="Q290" i="3"/>
  <c r="S182" i="3"/>
  <c r="Q182" i="3"/>
  <c r="S207" i="3"/>
  <c r="Q207" i="3"/>
  <c r="S80" i="3"/>
  <c r="Q80" i="3"/>
  <c r="S263" i="3"/>
  <c r="Q263" i="3"/>
  <c r="Q369" i="3"/>
  <c r="S369" i="3"/>
  <c r="S72" i="3"/>
  <c r="Q72" i="3"/>
  <c r="Q233" i="3"/>
  <c r="S233" i="3"/>
  <c r="S315" i="3"/>
  <c r="Q315" i="3"/>
  <c r="Q288" i="3"/>
  <c r="S288" i="3"/>
  <c r="Q125" i="3"/>
  <c r="S125" i="3"/>
  <c r="S47" i="3"/>
  <c r="Q47" i="3"/>
  <c r="S107" i="3"/>
  <c r="Q107" i="3"/>
  <c r="S101" i="3"/>
  <c r="Q101" i="3"/>
  <c r="S260" i="3"/>
  <c r="Q260" i="3"/>
  <c r="F357" i="3"/>
  <c r="F331" i="3"/>
  <c r="F325" i="3"/>
  <c r="F328" i="3"/>
  <c r="F359" i="3"/>
  <c r="F241" i="3"/>
  <c r="F111" i="3"/>
  <c r="F55" i="3"/>
  <c r="F60" i="3"/>
  <c r="F299" i="3"/>
  <c r="F35" i="3"/>
  <c r="F53" i="3"/>
  <c r="F78" i="3"/>
  <c r="F56" i="3"/>
  <c r="F214" i="3"/>
  <c r="F252" i="3"/>
  <c r="F321" i="3"/>
  <c r="F348" i="3"/>
  <c r="F62" i="3"/>
  <c r="F52" i="3"/>
  <c r="F88" i="3"/>
  <c r="F90" i="3"/>
  <c r="F133" i="3"/>
  <c r="F196" i="3"/>
  <c r="F218" i="3"/>
  <c r="F360" i="3"/>
  <c r="F277" i="3"/>
  <c r="F58" i="3"/>
  <c r="F63" i="3"/>
  <c r="F165" i="3"/>
  <c r="F171" i="3"/>
  <c r="F249" i="3"/>
  <c r="F22" i="3"/>
  <c r="F34" i="3"/>
  <c r="F48" i="3"/>
  <c r="F354" i="3"/>
  <c r="F23" i="3"/>
  <c r="F42" i="3"/>
  <c r="F142" i="3"/>
  <c r="F250" i="3"/>
  <c r="F358" i="3"/>
  <c r="F57" i="3"/>
  <c r="F65" i="3"/>
  <c r="F83" i="3"/>
  <c r="F84" i="3"/>
  <c r="F295" i="3"/>
  <c r="F138" i="3"/>
  <c r="F268" i="3"/>
  <c r="F82" i="3"/>
  <c r="F45" i="3"/>
  <c r="F79" i="3"/>
  <c r="F87" i="3"/>
  <c r="F89" i="3"/>
  <c r="F272" i="3"/>
  <c r="F349" i="3"/>
  <c r="F141" i="3"/>
  <c r="F137" i="3"/>
  <c r="F21" i="3"/>
  <c r="F33" i="3"/>
  <c r="F36" i="3"/>
  <c r="F64" i="3"/>
  <c r="F85" i="3"/>
  <c r="F115" i="3"/>
  <c r="F164" i="3"/>
  <c r="F20" i="3"/>
  <c r="F51" i="3"/>
  <c r="F160" i="3"/>
  <c r="F304" i="3"/>
  <c r="F330" i="3"/>
  <c r="F332" i="3"/>
  <c r="F190" i="3"/>
  <c r="F219" i="3"/>
  <c r="F225" i="3"/>
  <c r="F303" i="3"/>
  <c r="F326" i="3"/>
  <c r="F27" i="3"/>
  <c r="F106" i="3"/>
  <c r="F139" i="3"/>
  <c r="F166" i="3"/>
  <c r="F267" i="3"/>
  <c r="F276" i="3"/>
  <c r="F29" i="3"/>
  <c r="F170" i="3"/>
  <c r="F192" i="3"/>
  <c r="F245" i="3"/>
  <c r="F355" i="3"/>
  <c r="F116" i="3"/>
  <c r="F136" i="3"/>
  <c r="F163" i="3"/>
  <c r="F198" i="3"/>
  <c r="F222" i="3"/>
  <c r="F305" i="3"/>
  <c r="F143" i="3"/>
  <c r="F213" i="3"/>
  <c r="F247" i="3"/>
  <c r="F278" i="3"/>
  <c r="F327" i="3"/>
  <c r="F31" i="3"/>
  <c r="F112" i="3"/>
  <c r="F169" i="3"/>
  <c r="F195" i="3"/>
  <c r="F353" i="3"/>
  <c r="F28" i="3"/>
  <c r="F109" i="3"/>
  <c r="F186" i="3"/>
  <c r="F191" i="3"/>
  <c r="F220" i="3"/>
  <c r="F244" i="3"/>
  <c r="F251" i="3"/>
  <c r="F294" i="3"/>
  <c r="F117" i="3"/>
  <c r="F224" i="3"/>
  <c r="F240" i="3"/>
  <c r="F301" i="3"/>
  <c r="F30" i="3"/>
  <c r="F132" i="3"/>
  <c r="F144" i="3"/>
  <c r="F159" i="3"/>
  <c r="F168" i="3"/>
  <c r="F193" i="3"/>
  <c r="F246" i="3"/>
  <c r="F274" i="3"/>
  <c r="F300" i="3"/>
  <c r="F105" i="3"/>
  <c r="F114" i="3"/>
  <c r="F187" i="3"/>
  <c r="F217" i="3"/>
  <c r="F273" i="3"/>
  <c r="F298" i="3"/>
  <c r="F306" i="3"/>
  <c r="F26" i="3"/>
  <c r="F25" i="3"/>
  <c r="F50" i="3"/>
  <c r="F110" i="3"/>
  <c r="F197" i="3"/>
  <c r="F223" i="3"/>
  <c r="F271" i="3"/>
  <c r="F279" i="3"/>
  <c r="F322" i="3"/>
  <c r="K46" i="3"/>
  <c r="F46" i="3" s="1"/>
  <c r="Q188" i="3" l="1"/>
  <c r="Q323" i="3"/>
  <c r="Q296" i="3"/>
  <c r="S350" i="3"/>
  <c r="S25" i="3"/>
  <c r="Q25" i="3"/>
  <c r="S268" i="3"/>
  <c r="Q268" i="3"/>
  <c r="S26" i="3"/>
  <c r="Q26" i="3"/>
  <c r="S29" i="3"/>
  <c r="Q29" i="3"/>
  <c r="S295" i="3"/>
  <c r="Q295" i="3"/>
  <c r="S186" i="3"/>
  <c r="Q186" i="3"/>
  <c r="S133" i="3"/>
  <c r="Q133" i="3"/>
  <c r="Q159" i="3"/>
  <c r="S159" i="3"/>
  <c r="S46" i="3"/>
  <c r="Q46" i="3"/>
  <c r="S30" i="3"/>
  <c r="Q30" i="3"/>
  <c r="Q28" i="3"/>
  <c r="S28" i="3"/>
  <c r="S160" i="3"/>
  <c r="Q160" i="3"/>
  <c r="S349" i="3"/>
  <c r="Q349" i="3"/>
  <c r="Q78" i="3"/>
  <c r="S78" i="3"/>
  <c r="S348" i="3"/>
  <c r="Q348" i="3"/>
  <c r="S241" i="3"/>
  <c r="Q241" i="3"/>
  <c r="S106" i="3"/>
  <c r="Q106" i="3"/>
  <c r="Q321" i="3"/>
  <c r="S321" i="3"/>
  <c r="S48" i="3"/>
  <c r="Q48" i="3"/>
  <c r="S213" i="3"/>
  <c r="Q213" i="3"/>
  <c r="Q267" i="3"/>
  <c r="S267" i="3"/>
  <c r="S322" i="3"/>
  <c r="Q322" i="3"/>
  <c r="Q240" i="3"/>
  <c r="S240" i="3"/>
  <c r="S79" i="3"/>
  <c r="Q79" i="3"/>
  <c r="Q132" i="3"/>
  <c r="S132" i="3"/>
  <c r="S187" i="3"/>
  <c r="Q187" i="3"/>
  <c r="Q105" i="3"/>
  <c r="S105" i="3"/>
  <c r="S214" i="3"/>
  <c r="Q214" i="3"/>
  <c r="Q294" i="3"/>
  <c r="S294" i="3"/>
  <c r="S45" i="3"/>
  <c r="Q45" i="3"/>
  <c r="P23" i="3"/>
  <c r="R23" i="3" s="1"/>
  <c r="N19" i="3"/>
  <c r="S19" i="3" s="1"/>
  <c r="R19" i="3" l="1"/>
  <c r="O19" i="3"/>
  <c r="A376" i="3" l="1"/>
  <c r="A51" i="1" l="1"/>
  <c r="C7" i="5" l="1"/>
  <c r="D7" i="5"/>
  <c r="C8" i="5"/>
  <c r="D8" i="5"/>
  <c r="C9" i="5"/>
  <c r="D9" i="5"/>
  <c r="C10" i="5"/>
  <c r="D10" i="5"/>
  <c r="C11" i="5"/>
  <c r="D11" i="5"/>
  <c r="C12" i="5"/>
  <c r="D12" i="5"/>
  <c r="C13" i="5"/>
  <c r="D13" i="5"/>
  <c r="C14" i="5"/>
  <c r="D14" i="5"/>
  <c r="C15" i="5"/>
  <c r="D15" i="5"/>
  <c r="C16" i="5"/>
  <c r="D16" i="5"/>
  <c r="C17" i="5"/>
  <c r="D17" i="5"/>
  <c r="C18" i="5"/>
  <c r="D18" i="5"/>
  <c r="C19" i="5"/>
  <c r="D19" i="5"/>
  <c r="D6" i="5"/>
  <c r="C6" i="5"/>
  <c r="E26" i="1" l="1"/>
  <c r="E7" i="5" s="1"/>
  <c r="E27" i="1"/>
  <c r="E8" i="5" s="1"/>
  <c r="E28" i="1"/>
  <c r="E29" i="1"/>
  <c r="E9" i="5" s="1"/>
  <c r="E30" i="1"/>
  <c r="E10" i="5" s="1"/>
  <c r="E31" i="1"/>
  <c r="E11" i="5" s="1"/>
  <c r="E32" i="1"/>
  <c r="E12" i="5" s="1"/>
  <c r="E33" i="1"/>
  <c r="E13" i="5" s="1"/>
  <c r="E34" i="1"/>
  <c r="E14" i="5" s="1"/>
  <c r="E35" i="1"/>
  <c r="E15" i="5" s="1"/>
  <c r="E36" i="1"/>
  <c r="E16" i="5" s="1"/>
  <c r="E37" i="1"/>
  <c r="G37" i="1" s="1"/>
  <c r="E38" i="1"/>
  <c r="G38" i="1" s="1"/>
  <c r="E39" i="1"/>
  <c r="E17" i="5" s="1"/>
  <c r="E40" i="1"/>
  <c r="G40" i="1" s="1"/>
  <c r="E41" i="1"/>
  <c r="G41" i="1" s="1"/>
  <c r="E42" i="1"/>
  <c r="E18" i="5" s="1"/>
  <c r="E43" i="1"/>
  <c r="G43" i="1" s="1"/>
  <c r="E44" i="1"/>
  <c r="G44" i="1" s="1"/>
  <c r="E45" i="1"/>
  <c r="E19" i="5" s="1"/>
  <c r="E46" i="1"/>
  <c r="G46" i="1" s="1"/>
  <c r="E47" i="1"/>
  <c r="G47" i="1" s="1"/>
  <c r="E25" i="1"/>
  <c r="G28" i="1" l="1"/>
  <c r="E6" i="5"/>
  <c r="G49" i="1"/>
  <c r="S372" i="3"/>
  <c r="S374" i="3" l="1"/>
  <c r="S375" i="3" s="1"/>
  <c r="E17" i="1"/>
  <c r="E18" i="1"/>
  <c r="E19" i="1"/>
  <c r="E20" i="1"/>
  <c r="E21" i="1"/>
  <c r="E22" i="1"/>
  <c r="E23" i="1"/>
  <c r="G50" i="1" l="1"/>
  <c r="S373" i="3"/>
  <c r="S376" i="3" s="1"/>
  <c r="S377" i="3" l="1"/>
  <c r="G20" i="1"/>
  <c r="G21" i="1"/>
  <c r="G22" i="1"/>
  <c r="G23" i="1"/>
  <c r="G19" i="1" l="1"/>
  <c r="G18" i="1"/>
  <c r="G17" i="1" l="1"/>
  <c r="G48" i="1" s="1"/>
  <c r="G51" i="1" l="1"/>
  <c r="G52" i="1" s="1"/>
</calcChain>
</file>

<file path=xl/sharedStrings.xml><?xml version="1.0" encoding="utf-8"?>
<sst xmlns="http://schemas.openxmlformats.org/spreadsheetml/2006/main" count="1589" uniqueCount="532">
  <si>
    <t>№ пп</t>
  </si>
  <si>
    <t>Наименование расценок/матералов</t>
  </si>
  <si>
    <t>Идентификатор СМР/ТМЦ</t>
  </si>
  <si>
    <t>Ед. изм.</t>
  </si>
  <si>
    <t>Общий объем</t>
  </si>
  <si>
    <t>Примечание подрядчика</t>
  </si>
  <si>
    <t>м</t>
  </si>
  <si>
    <t>ИТОГО стоимость ТМЦ</t>
  </si>
  <si>
    <t>ИТОГО стоимость СМР</t>
  </si>
  <si>
    <t>Тендерные условия</t>
  </si>
  <si>
    <t>Материалы</t>
  </si>
  <si>
    <t>№ п/п</t>
  </si>
  <si>
    <t>Обоснование</t>
  </si>
  <si>
    <t>Наименование работ и затрат</t>
  </si>
  <si>
    <t>Единица измерения</t>
  </si>
  <si>
    <t>Количество</t>
  </si>
  <si>
    <t>Сметная стоимость в текущих (прогнозных) ценах, руб.</t>
  </si>
  <si>
    <t>на ед.</t>
  </si>
  <si>
    <t>Всего</t>
  </si>
  <si>
    <t>ЛОКАЛЬНЫЙ РЕСУРСНЫЙ СМЕТНЫЙ РАСЧЕТ № 1</t>
  </si>
  <si>
    <t>(наименование работ и затрат, наименование объекта)</t>
  </si>
  <si>
    <t xml:space="preserve">Компенсация НДС на материал при условии применения УСН </t>
  </si>
  <si>
    <t>Итого по сметному расчету</t>
  </si>
  <si>
    <t xml:space="preserve">Стоимость </t>
  </si>
  <si>
    <t>в т.ч стоимость работ по сметному расчету</t>
  </si>
  <si>
    <t>в т.ч стоимость материала по сметному расчету</t>
  </si>
  <si>
    <t>Работы за ед</t>
  </si>
  <si>
    <t>Работы итого</t>
  </si>
  <si>
    <t>Материал за ед</t>
  </si>
  <si>
    <t>Материал итого</t>
  </si>
  <si>
    <t>УТВЕРЖДАЮ:</t>
  </si>
  <si>
    <t>Заказчик</t>
  </si>
  <si>
    <t>м.п.</t>
  </si>
  <si>
    <t>Директор ООО «»</t>
  </si>
  <si>
    <t xml:space="preserve">________________ </t>
  </si>
  <si>
    <t>СОГЛАСОВАНО:</t>
  </si>
  <si>
    <t>Подрядчик</t>
  </si>
  <si>
    <t>Компенсация НДС на ТМЦ при условии применения УСН</t>
  </si>
  <si>
    <t>Стройка:</t>
  </si>
  <si>
    <t>Объект:</t>
  </si>
  <si>
    <t>Статья бюджета:</t>
  </si>
  <si>
    <t>Стоимость, указанная в предложении включает в себя все необходимые затраты на выполнение полного комплекса работ</t>
  </si>
  <si>
    <r>
      <t>Цена на ед. измерения в руб.</t>
    </r>
    <r>
      <rPr>
        <b/>
        <sz val="14"/>
        <color rgb="FFFF0000"/>
        <rFont val="Times New Roman"/>
        <family val="1"/>
        <charset val="204"/>
      </rPr>
      <t xml:space="preserve"> без НДС</t>
    </r>
  </si>
  <si>
    <r>
      <t xml:space="preserve">Твердая договорная стоимость на полный объем в руб. </t>
    </r>
    <r>
      <rPr>
        <b/>
        <sz val="14"/>
        <color rgb="FFFF0000"/>
        <rFont val="Times New Roman"/>
        <family val="1"/>
        <charset val="204"/>
      </rPr>
      <t>без НДС</t>
    </r>
  </si>
  <si>
    <t>Наименование работ:</t>
  </si>
  <si>
    <t>Подрядчик:</t>
  </si>
  <si>
    <t>Заказчик:</t>
  </si>
  <si>
    <t>Ячейки выделенные синим цветом обязательны к заполнению</t>
  </si>
  <si>
    <t>Примечание заказчика</t>
  </si>
  <si>
    <t>Указать релевантный опыт только по специализации тендера</t>
  </si>
  <si>
    <t>Да/Нет</t>
  </si>
  <si>
    <t>Шифр/номер РД</t>
  </si>
  <si>
    <r>
      <t xml:space="preserve">Авансовый платеж </t>
    </r>
    <r>
      <rPr>
        <sz val="12"/>
        <color theme="1"/>
        <rFont val="Times New Roman"/>
        <family val="1"/>
        <charset val="204"/>
      </rPr>
      <t>(Не более 30% от стоимости договора. Аванс предоставляется для целевого исползования, покупка материалов, перебазировка тяжёлой техники и т.п</t>
    </r>
    <r>
      <rPr>
        <b/>
        <sz val="12"/>
        <color theme="1"/>
        <rFont val="Times New Roman"/>
        <family val="1"/>
        <charset val="204"/>
      </rPr>
      <t>.)</t>
    </r>
  </si>
  <si>
    <r>
      <t xml:space="preserve">Срок выполнения работ </t>
    </r>
    <r>
      <rPr>
        <sz val="12"/>
        <color theme="1"/>
        <rFont val="Times New Roman"/>
        <family val="1"/>
        <charset val="204"/>
      </rPr>
      <t>(Календарных дней)</t>
    </r>
  </si>
  <si>
    <r>
      <t xml:space="preserve"> </t>
    </r>
    <r>
      <rPr>
        <b/>
        <sz val="12"/>
        <rFont val="Times New Roman"/>
        <family val="1"/>
        <charset val="204"/>
      </rPr>
      <t>Зачет аванса:</t>
    </r>
    <r>
      <rPr>
        <sz val="12"/>
        <rFont val="Times New Roman"/>
        <family val="1"/>
        <charset val="204"/>
      </rPr>
      <t xml:space="preserve"> 
</t>
    </r>
    <r>
      <rPr>
        <sz val="12"/>
        <color theme="1"/>
        <rFont val="Times New Roman"/>
        <family val="1"/>
        <charset val="204"/>
      </rPr>
      <t xml:space="preserve">1) в 100 % объеме от выполненных работ
2) в 50% объёме от выполненных работ
 </t>
    </r>
    <r>
      <rPr>
        <sz val="12"/>
        <color rgb="FFFF0000"/>
        <rFont val="Times New Roman"/>
        <family val="1"/>
        <charset val="204"/>
      </rPr>
      <t>(выбрать вариант - заполнить)</t>
    </r>
    <r>
      <rPr>
        <sz val="12"/>
        <color theme="1"/>
        <rFont val="Times New Roman"/>
        <family val="1"/>
        <charset val="204"/>
      </rPr>
      <t xml:space="preserve"> </t>
    </r>
    <r>
      <rPr>
        <b/>
        <sz val="12"/>
        <color theme="1"/>
        <rFont val="Times New Roman"/>
        <family val="1"/>
        <charset val="204"/>
      </rPr>
      <t xml:space="preserve">                                                                                                                                                                                                                                                                                           </t>
    </r>
  </si>
  <si>
    <t>Указать № _
 Дата выдачи:________</t>
  </si>
  <si>
    <t>ИТР ___ чел., рабочие ___ чел. / ИТР ___ чел., рабочие ___ чел.</t>
  </si>
  <si>
    <t>Да - указать объем работ при котором будет сохранение расценок/Нет</t>
  </si>
  <si>
    <t>Да/Нет
Банк гарант - ___________</t>
  </si>
  <si>
    <t>Директор ООО «» / Индивидуальный предприниматель</t>
  </si>
  <si>
    <t>/</t>
  </si>
  <si>
    <t>МП</t>
  </si>
  <si>
    <t>подпись</t>
  </si>
  <si>
    <t>(расшифровка подписи)</t>
  </si>
  <si>
    <t>Стоимость КП предусматривает все затраты (косвенные и прямые) для выполнения полного комплекса работ/услуг согласно ТЗ, типовой формы договора подряда.</t>
  </si>
  <si>
    <t>Наименование работ</t>
  </si>
  <si>
    <t>Комплексная застройка «ДНС Сити», расположенная по адресу: Приморский край, Надеждинский р-н, п. Новый, в районе ул. Ленина, д.16а</t>
  </si>
  <si>
    <t>Многоэтажный многоквартирный жилой дом, расположенный на земельном участке с кадастровым номером 25:10:011500:2784 (ОКС 12.2)</t>
  </si>
  <si>
    <t>Ведомость давальческого материала</t>
  </si>
  <si>
    <t>№</t>
  </si>
  <si>
    <t>Наименование</t>
  </si>
  <si>
    <t>Ед.изм</t>
  </si>
  <si>
    <t>Наименование раздела РД</t>
  </si>
  <si>
    <t>Лист РД</t>
  </si>
  <si>
    <t>Проектное решение</t>
  </si>
  <si>
    <t>Предлагаемое к согласованию решение по замене материалов/оборудования/конструкций</t>
  </si>
  <si>
    <t>Стоимость по РД, руб</t>
  </si>
  <si>
    <t>Предлагаемая стоимость, руб</t>
  </si>
  <si>
    <t>Замечания и предложения к рабочей документации</t>
  </si>
  <si>
    <t>Стоимость КП расчитана на основании приложенной проектной/рабочей документации</t>
  </si>
  <si>
    <r>
      <rPr>
        <b/>
        <sz val="12"/>
        <rFont val="Times New Roman"/>
        <family val="1"/>
        <charset val="204"/>
      </rPr>
      <t xml:space="preserve">В стоимости учтены расходы на услуги по уборке, складированию и вывозу строительных отходов </t>
    </r>
    <r>
      <rPr>
        <b/>
        <sz val="12"/>
        <color indexed="2"/>
        <rFont val="Times New Roman"/>
        <family val="1"/>
        <charset val="204"/>
      </rPr>
      <t xml:space="preserve"> </t>
    </r>
    <r>
      <rPr>
        <sz val="12"/>
        <color indexed="2"/>
        <rFont val="Times New Roman"/>
        <family val="1"/>
        <charset val="204"/>
      </rPr>
      <t>(да/нет)</t>
    </r>
  </si>
  <si>
    <r>
      <rPr>
        <b/>
        <sz val="12"/>
        <rFont val="Times New Roman"/>
        <family val="1"/>
        <charset val="204"/>
      </rPr>
      <t>Численность официально трудоустроенных лиц/ численность, планируемая для реализации тендера</t>
    </r>
    <r>
      <rPr>
        <sz val="12"/>
        <rFont val="Times New Roman"/>
        <family val="1"/>
        <charset val="204"/>
      </rPr>
      <t xml:space="preserve"> </t>
    </r>
    <r>
      <rPr>
        <sz val="12"/>
        <color indexed="2"/>
        <rFont val="Times New Roman"/>
        <family val="1"/>
        <charset val="204"/>
      </rPr>
      <t>(указать …/….)</t>
    </r>
  </si>
  <si>
    <r>
      <rPr>
        <b/>
        <sz val="12"/>
        <rFont val="Times New Roman"/>
        <family val="1"/>
        <charset val="204"/>
      </rPr>
      <t>Контактное лицо по вопросам участия в тендере</t>
    </r>
    <r>
      <rPr>
        <sz val="12"/>
        <color indexed="2"/>
        <rFont val="Times New Roman"/>
        <family val="1"/>
        <charset val="204"/>
      </rPr>
      <t xml:space="preserve"> (должность, ФИО - полностью, контакты: тел., e-mail)</t>
    </r>
  </si>
  <si>
    <r>
      <rPr>
        <b/>
        <sz val="12"/>
        <rFont val="Times New Roman"/>
        <family val="1"/>
        <charset val="204"/>
      </rPr>
      <t>Генеральный директор предприятия</t>
    </r>
    <r>
      <rPr>
        <sz val="12"/>
        <rFont val="Times New Roman"/>
        <family val="1"/>
        <charset val="204"/>
      </rPr>
      <t xml:space="preserve"> </t>
    </r>
    <r>
      <rPr>
        <sz val="12"/>
        <color indexed="2"/>
        <rFont val="Times New Roman"/>
        <family val="1"/>
        <charset val="204"/>
      </rPr>
      <t>(ФИО - полностью, контакты: тел., e-mail)</t>
    </r>
  </si>
  <si>
    <t>Да</t>
  </si>
  <si>
    <r>
      <t xml:space="preserve">Готовность к уменьшению объемов работ и сохранению при этом единичных расценок.  </t>
    </r>
    <r>
      <rPr>
        <sz val="12"/>
        <color rgb="FFFF0000"/>
        <rFont val="Times New Roman"/>
        <family val="1"/>
        <charset val="204"/>
      </rPr>
      <t>(да/нет)</t>
    </r>
  </si>
  <si>
    <r>
      <rPr>
        <b/>
        <sz val="12"/>
        <rFont val="Times New Roman"/>
        <family val="1"/>
        <charset val="204"/>
      </rPr>
      <t>Наличие СРО/ лицензии</t>
    </r>
    <r>
      <rPr>
        <sz val="12"/>
        <rFont val="Times New Roman"/>
        <family val="1"/>
        <charset val="204"/>
      </rPr>
      <t xml:space="preserve"> </t>
    </r>
    <r>
      <rPr>
        <sz val="12"/>
        <color rgb="FFFF0000"/>
        <rFont val="Times New Roman"/>
        <family val="1"/>
        <charset val="204"/>
      </rPr>
      <t xml:space="preserve">(да/нет)-для тендеров, когда СРО/лицензия необходима. </t>
    </r>
  </si>
  <si>
    <t>60 (Шестьдесят) месяцев</t>
  </si>
  <si>
    <t>Гарантийный срок на выполненные работы по договору с даты подписания последней КС.</t>
  </si>
  <si>
    <r>
      <rPr>
        <b/>
        <sz val="12"/>
        <rFont val="Times New Roman"/>
        <family val="1"/>
        <charset val="204"/>
      </rPr>
      <t>Готовность приступить к работе по гарантийному письму Заказчика о намерениях заключить договор</t>
    </r>
    <r>
      <rPr>
        <sz val="12"/>
        <rFont val="Times New Roman"/>
        <family val="1"/>
        <charset val="204"/>
      </rPr>
      <t xml:space="preserve"> </t>
    </r>
    <r>
      <rPr>
        <sz val="12"/>
        <color rgb="FFFF0000"/>
        <rFont val="Times New Roman"/>
        <family val="1"/>
        <charset val="204"/>
      </rPr>
      <t>(да/нет, указать, к каким работам готовы приступить по гарантийному письму до заключения договора)</t>
    </r>
  </si>
  <si>
    <r>
      <rPr>
        <b/>
        <sz val="12"/>
        <rFont val="Times New Roman"/>
        <family val="1"/>
        <charset val="204"/>
      </rPr>
      <t>Банковская гарантия на авансовый платеж</t>
    </r>
    <r>
      <rPr>
        <sz val="12"/>
        <rFont val="Times New Roman"/>
        <family val="1"/>
        <charset val="204"/>
      </rPr>
      <t xml:space="preserve"> (при предоставлении аванса более 2 000 000 руб. с НДС) </t>
    </r>
    <r>
      <rPr>
        <sz val="12"/>
        <color rgb="FFFF0000"/>
        <rFont val="Times New Roman"/>
        <family val="1"/>
        <charset val="204"/>
      </rPr>
      <t>(да/нет) -  указать банк-гарант.</t>
    </r>
    <r>
      <rPr>
        <sz val="12"/>
        <rFont val="Times New Roman"/>
        <family val="1"/>
        <charset val="204"/>
      </rPr>
      <t xml:space="preserve">
</t>
    </r>
    <r>
      <rPr>
        <b/>
        <sz val="12"/>
        <rFont val="Times New Roman"/>
        <family val="1"/>
        <charset val="204"/>
      </rPr>
      <t>Срок действия банковской гарантии должен быть + 6 месяцев к предполагаемой дате завершения работ по графику производства работ</t>
    </r>
  </si>
  <si>
    <r>
      <t xml:space="preserve">Организация работает с </t>
    </r>
    <r>
      <rPr>
        <sz val="12"/>
        <color rgb="FFFF0000"/>
        <rFont val="Times New Roman"/>
        <family val="1"/>
        <charset val="204"/>
      </rPr>
      <t>НДС 20%/НДС 7%/НДС 5%/без НДС</t>
    </r>
  </si>
  <si>
    <t>Количество рабочих/ИТР*</t>
  </si>
  <si>
    <t>* - минимальное количество людей для производства работ в день</t>
  </si>
  <si>
    <t xml:space="preserve">ООО СЗ "ДНС Сити" 692481, с. Вольно-Надеждинское, Территория ТОР Надеждинская </t>
  </si>
  <si>
    <t>Технический заказчик:</t>
  </si>
  <si>
    <t>ООО "Инвест Строй" 690068, г. Владивосток, пр-т 100 летия Владивостока, 155 корп. 3, оф. 41</t>
  </si>
  <si>
    <t>Директор ООО «Ивест Строй»</t>
  </si>
  <si>
    <t>________________ Сомов Н.Ф.</t>
  </si>
  <si>
    <t>20% от материала при УСН или НДС 5%/7%</t>
  </si>
  <si>
    <t>НДС 20%/НДС 7%/НДС 5%/без НДС от всей суммы СМР и ТМЦ</t>
  </si>
  <si>
    <r>
      <t xml:space="preserve">Опыт реализации аналогичных видов работ за последние 3 года
</t>
    </r>
    <r>
      <rPr>
        <b/>
        <sz val="12"/>
        <color rgb="FFFF0000"/>
        <rFont val="Times New Roman"/>
        <family val="1"/>
        <charset val="204"/>
      </rPr>
      <t>Заказчик:
Контакты заказчика:
Объект:
Сроки выполнения работ:
Предмет договора:</t>
    </r>
  </si>
  <si>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</si>
  <si>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</si>
  <si>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</si>
  <si>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</si>
  <si>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</si>
  <si>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</si>
  <si>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</si>
  <si>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</si>
  <si>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</si>
  <si>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</si>
  <si>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</si>
  <si>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</si>
  <si>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</si>
  <si>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</si>
  <si>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</si>
  <si>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</si>
  <si>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</si>
  <si>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</si>
  <si>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</si>
  <si>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</si>
  <si>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</si>
  <si>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</si>
  <si>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</si>
  <si>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</si>
  <si>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</si>
  <si>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</si>
  <si>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</si>
  <si>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</si>
  <si>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</si>
  <si>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</si>
  <si>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</si>
  <si>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</si>
  <si>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</si>
  <si>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</si>
  <si>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</si>
  <si>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</si>
  <si>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</si>
  <si>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</si>
  <si>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</si>
  <si>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</si>
  <si>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</si>
  <si>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</si>
  <si>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</si>
  <si>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</si>
  <si>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</si>
  <si>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</si>
  <si>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</si>
  <si>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</si>
  <si>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</si>
  <si>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</si>
  <si>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</si>
  <si>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</si>
  <si>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</si>
  <si>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</si>
  <si>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</si>
  <si>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</si>
  <si>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</si>
  <si>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</si>
  <si>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</si>
  <si>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</si>
  <si>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</si>
  <si>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</si>
  <si>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</si>
  <si>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</si>
  <si>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</si>
  <si>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</si>
  <si>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</si>
  <si>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</si>
  <si>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</si>
  <si>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</si>
  <si>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</si>
  <si>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</si>
  <si>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</si>
  <si>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</si>
  <si>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</si>
  <si>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</si>
  <si>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</si>
  <si>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</si>
  <si>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</si>
  <si>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</si>
  <si>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</si>
  <si>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</si>
  <si>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</si>
  <si>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</si>
  <si>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</si>
  <si>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</si>
  <si>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</si>
  <si>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ОКС 12.2</t>
  </si>
  <si>
    <t>Длит, дн</t>
  </si>
  <si>
    <t>2025 год</t>
  </si>
  <si>
    <t>Январь</t>
  </si>
  <si>
    <t>Февраль</t>
  </si>
  <si>
    <t>Март</t>
  </si>
  <si>
    <t>Апрель</t>
  </si>
  <si>
    <t>Май</t>
  </si>
  <si>
    <t>Июнь</t>
  </si>
  <si>
    <t>Июль</t>
  </si>
  <si>
    <t>Август</t>
  </si>
  <si>
    <t>Сентябрь</t>
  </si>
  <si>
    <t>Октябрь</t>
  </si>
  <si>
    <t>Ноябрь</t>
  </si>
  <si>
    <t>Декабрь</t>
  </si>
  <si>
    <t>Материал заказчика</t>
  </si>
  <si>
    <t>ИТОГО КОММЕРЧЕСКОЕ ПРЕДЛОЖЕНИЕ</t>
  </si>
  <si>
    <r>
      <rPr>
        <b/>
        <sz val="16"/>
        <color rgb="FFC00000"/>
        <rFont val="Times New Roman"/>
        <family val="1"/>
        <charset val="204"/>
      </rPr>
      <t xml:space="preserve">Позиции ТМЦ включают в себя стоимость основных материалов и доставку их на объект
Для позиции СМР в расценке необходимо учесть все затраты для выполнения указанного вида работ за исключением материалов выделенных в разделе "Материалы" </t>
    </r>
    <r>
      <rPr>
        <sz val="16"/>
        <color rgb="FFC00000"/>
        <rFont val="Times New Roman"/>
        <family val="1"/>
        <charset val="204"/>
      </rPr>
      <t xml:space="preserve">(заработная плата,эксплуатация машин и механизмов, накладные расходы, сметная прибыль, сопутствующих материалов для выполнения указанных видов работ)
</t>
    </r>
    <r>
      <rPr>
        <b/>
        <sz val="16"/>
        <color rgb="FFC00000"/>
        <rFont val="Times New Roman"/>
        <family val="1"/>
        <charset val="204"/>
      </rPr>
      <t>Расчеты выполнить в соответствии с ведомостью КП и приложенной РД</t>
    </r>
    <r>
      <rPr>
        <sz val="16"/>
        <color rgb="FFC00000"/>
        <rFont val="Times New Roman"/>
        <family val="1"/>
        <charset val="204"/>
      </rPr>
      <t xml:space="preserve">
</t>
    </r>
    <r>
      <rPr>
        <b/>
        <sz val="16"/>
        <color rgb="FFC00000"/>
        <rFont val="Times New Roman"/>
        <family val="1"/>
        <charset val="204"/>
      </rPr>
      <t>Все возникшие предложения по РД указать в отдельной вкладке "Замечания-предложения к РД"</t>
    </r>
  </si>
  <si>
    <t>КОММЕРЧЕСКОЕ ПРЕДЛОЖЕНИЕ ОТ</t>
  </si>
  <si>
    <t>Указать дату составления КП в формате ДД.ММ.ГГГГ</t>
  </si>
  <si>
    <t>88</t>
  </si>
  <si>
    <t>89</t>
  </si>
  <si>
    <t>90</t>
  </si>
  <si>
    <t>91</t>
  </si>
  <si>
    <t>92</t>
  </si>
  <si>
    <t>93</t>
  </si>
  <si>
    <t>УС1</t>
  </si>
  <si>
    <t>ШС2</t>
  </si>
  <si>
    <t>ШС3</t>
  </si>
  <si>
    <t>УС4</t>
  </si>
  <si>
    <t>ШС5</t>
  </si>
  <si>
    <t>УС6</t>
  </si>
  <si>
    <t>ШС7</t>
  </si>
  <si>
    <t>Раздел 1. Подвал/цоколь</t>
  </si>
  <si>
    <t>Отделка МОП</t>
  </si>
  <si>
    <t>СНБ 9.4.5-08</t>
  </si>
  <si>
    <t>м2</t>
  </si>
  <si>
    <t>М9.4.5-21</t>
  </si>
  <si>
    <t>Грунтовка глубокого проникновения</t>
  </si>
  <si>
    <t>л</t>
  </si>
  <si>
    <t>М9.4.5-12</t>
  </si>
  <si>
    <t>Клей плиточный</t>
  </si>
  <si>
    <t>кг</t>
  </si>
  <si>
    <t>М9.4.5-11</t>
  </si>
  <si>
    <t>Затирка цементная</t>
  </si>
  <si>
    <t>М9.4.5-01</t>
  </si>
  <si>
    <t>Керамогранит</t>
  </si>
  <si>
    <t>СНБ 9.4.5-13</t>
  </si>
  <si>
    <t>М9.4.5-20</t>
  </si>
  <si>
    <t>Эпоксидный двухкомпонентный ремонтный состав для ремонта бетонных оснований</t>
  </si>
  <si>
    <t>М9.4.5-19</t>
  </si>
  <si>
    <t>Эпоксидная смола CLEANPOXY DNY 2200 (YE )</t>
  </si>
  <si>
    <t>М9.4.5-18</t>
  </si>
  <si>
    <t>Цветной эпоксидный состав для устройства промышленных полимерных покрытий Cleanpoxy DHDC 6200</t>
  </si>
  <si>
    <t>М9.4.5-14</t>
  </si>
  <si>
    <t>Песок кварцевый фракция 0,1-0,4</t>
  </si>
  <si>
    <t>М9.4.5-13</t>
  </si>
  <si>
    <t>Колеруемая эпоксидная эмаль Cleanpoxy 3100</t>
  </si>
  <si>
    <t>М9.4.5-17</t>
  </si>
  <si>
    <t>Флок монохром белый, черный, цветной</t>
  </si>
  <si>
    <t>М9.4.5-15</t>
  </si>
  <si>
    <t>Растворитель Р-4</t>
  </si>
  <si>
    <t>СНБ 9.4.5-11</t>
  </si>
  <si>
    <t>М9.4.5-10</t>
  </si>
  <si>
    <t>М9.4.5-05</t>
  </si>
  <si>
    <t>Плинтус керамогранитный 600х600 Italon Millenium Black</t>
  </si>
  <si>
    <t>СНБ 9.4.5-10</t>
  </si>
  <si>
    <t>М9.4.5-08</t>
  </si>
  <si>
    <t>Сити Слим резина + текстиль + скребок</t>
  </si>
  <si>
    <t>Раздел 2. 1 этаж</t>
  </si>
  <si>
    <t>СНБ 9.4.5-02</t>
  </si>
  <si>
    <t>М9.4.5-09</t>
  </si>
  <si>
    <t>Гидроизоляция "Кальматрон-Акриласт"</t>
  </si>
  <si>
    <t>М9.4.5-07</t>
  </si>
  <si>
    <t>Сетка малярная 70г интерьерная 5х5</t>
  </si>
  <si>
    <t>СНБ 9.4.5-05</t>
  </si>
  <si>
    <t>М9.4.5-23</t>
  </si>
  <si>
    <t>Раствор готовый кладочный, цементный, М150</t>
  </si>
  <si>
    <t>м3</t>
  </si>
  <si>
    <t>М9.4.5-16</t>
  </si>
  <si>
    <t>Фиброволокно</t>
  </si>
  <si>
    <t>М9.4.5-22</t>
  </si>
  <si>
    <t>Лента уплотнительная из пенополиэтилена с односторонним клеевым слоем, защищенным антиадгезионным материалом, 10/100 мм</t>
  </si>
  <si>
    <t>М9.4.5-04</t>
  </si>
  <si>
    <t>Пленка полиэтиленовая, 150 мкм</t>
  </si>
  <si>
    <t>М9.4.5-02</t>
  </si>
  <si>
    <t>Керамогранит Гранитея Сугумок бежевый матовый 60х60</t>
  </si>
  <si>
    <t>М9.4.5-06</t>
  </si>
  <si>
    <t>Плитка керамогранитная 600х600 Italon Millenium Black</t>
  </si>
  <si>
    <t>Отделка квартир</t>
  </si>
  <si>
    <t>Раздел 3. 2 этаж</t>
  </si>
  <si>
    <t>СНБ 9.4.5-03</t>
  </si>
  <si>
    <t>М9.4.5-03</t>
  </si>
  <si>
    <t>Пенотерм 6 мм</t>
  </si>
  <si>
    <t>Раздел 4. 3 этаж</t>
  </si>
  <si>
    <t>94</t>
  </si>
  <si>
    <t>95</t>
  </si>
  <si>
    <t>96</t>
  </si>
  <si>
    <t>97</t>
  </si>
  <si>
    <t>98</t>
  </si>
  <si>
    <t>99</t>
  </si>
  <si>
    <t>100</t>
  </si>
  <si>
    <t>101</t>
  </si>
  <si>
    <t>Раздел 5. 4 этаж</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</si>
  <si>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</si>
  <si>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</si>
  <si>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</si>
  <si>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</si>
  <si>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</si>
  <si>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</si>
  <si>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</si>
  <si>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</si>
  <si>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</si>
  <si>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</si>
  <si>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</si>
  <si>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</si>
  <si>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</si>
  <si>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</si>
  <si>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</si>
  <si>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</si>
  <si>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</si>
  <si>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</si>
  <si>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</si>
  <si>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</si>
  <si>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</si>
  <si>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</si>
  <si>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</si>
  <si>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</si>
  <si>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Раздел 6. 5 этаж</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</si>
  <si>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</si>
  <si>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</si>
  <si>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</si>
  <si>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</si>
  <si>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</si>
  <si>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</si>
  <si>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</si>
  <si>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</si>
  <si>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</si>
  <si>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</si>
  <si>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</si>
  <si>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</si>
  <si>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</si>
  <si>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</si>
  <si>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</si>
  <si>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</si>
  <si>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</si>
  <si>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</si>
  <si>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</si>
  <si>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</si>
  <si>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</si>
  <si>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</si>
  <si>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</si>
  <si>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</si>
  <si>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Раздел 7. 6 этаж</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</si>
  <si>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</si>
  <si>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</si>
  <si>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</si>
  <si>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</si>
  <si>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</si>
  <si>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</si>
  <si>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</si>
  <si>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</si>
  <si>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</si>
  <si>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</si>
  <si>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</si>
  <si>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</si>
  <si>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</si>
  <si>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</si>
  <si>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</si>
  <si>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</si>
  <si>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</si>
  <si>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</si>
  <si>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</si>
  <si>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</si>
  <si>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</si>
  <si>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</si>
  <si>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</si>
  <si>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</si>
  <si>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Раздел 8. 7 этаж</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</si>
  <si>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</si>
  <si>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</si>
  <si>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</si>
  <si>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</si>
  <si>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</si>
  <si>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</si>
  <si>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</si>
  <si>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</si>
  <si>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</si>
  <si>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</si>
  <si>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</si>
  <si>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</si>
  <si>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</si>
  <si>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</si>
  <si>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</si>
  <si>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</si>
  <si>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</si>
  <si>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</si>
  <si>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</si>
  <si>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</si>
  <si>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</si>
  <si>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</si>
  <si>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</si>
  <si>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</si>
  <si>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Раздел 9. 8 этаж</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</si>
  <si>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</si>
  <si>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</si>
  <si>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</si>
  <si>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</si>
  <si>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</si>
  <si>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</si>
  <si>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</si>
  <si>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</si>
  <si>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</si>
  <si>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</si>
  <si>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</si>
  <si>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</si>
  <si>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</si>
  <si>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</si>
  <si>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</si>
  <si>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</si>
  <si>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</si>
  <si>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</si>
  <si>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</si>
  <si>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</si>
  <si>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</si>
  <si>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</si>
  <si>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</si>
  <si>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</si>
  <si>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Раздел 10. 9 этаж</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</si>
  <si>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</si>
  <si>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</si>
  <si>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</si>
  <si>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</si>
  <si>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</si>
  <si>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</si>
  <si>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</si>
  <si>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</si>
  <si>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</si>
  <si>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</si>
  <si>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</si>
  <si>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</si>
  <si>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</si>
  <si>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</si>
  <si>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</si>
  <si>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</si>
  <si>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</si>
  <si>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</si>
  <si>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</si>
  <si>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</si>
  <si>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</si>
  <si>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</si>
  <si>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</si>
  <si>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</si>
  <si>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Раздел 11. 10 этаж</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</si>
  <si>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</si>
  <si>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</si>
  <si>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</si>
  <si>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</si>
  <si>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</si>
  <si>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</si>
  <si>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</si>
  <si>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</si>
  <si>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</si>
  <si>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</si>
  <si>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</si>
  <si>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</si>
  <si>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</si>
  <si>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</si>
  <si>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</si>
  <si>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</si>
  <si>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</si>
  <si>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</si>
  <si>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</si>
  <si>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</si>
  <si>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</si>
  <si>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</si>
  <si>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</si>
  <si>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</si>
  <si>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Раздел 12. 11 этаж</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</si>
  <si>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</si>
  <si>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</si>
  <si>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</si>
  <si>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</si>
  <si>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</si>
  <si>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</si>
  <si>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</si>
  <si>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</si>
  <si>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</si>
  <si>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</si>
  <si>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</si>
  <si>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</si>
  <si>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</si>
  <si>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</si>
  <si>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</si>
  <si>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</si>
  <si>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</si>
  <si>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</si>
  <si>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</si>
  <si>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</si>
  <si>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</si>
  <si>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</si>
  <si>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</si>
  <si>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</si>
  <si>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Раздел 13. 12 этаж</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</si>
  <si>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</si>
  <si>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</si>
  <si>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</si>
  <si>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</si>
  <si>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</si>
  <si>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</si>
  <si>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</si>
  <si>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</si>
  <si>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</si>
  <si>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</si>
  <si>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</si>
  <si>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</si>
  <si>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</si>
  <si>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</si>
  <si>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</si>
  <si>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</si>
  <si>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</si>
  <si>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</si>
  <si>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</si>
  <si>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</si>
  <si>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</si>
  <si>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</si>
  <si>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</si>
  <si>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</si>
  <si>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Расход на ед. изм</t>
  </si>
  <si>
    <t>П</t>
  </si>
  <si>
    <t>на устройство внутренней отделки полов в секциях УС1 - ШС7</t>
  </si>
  <si>
    <t>Устройство внутренней отделки полов в секциях УС1 - ШС7</t>
  </si>
  <si>
    <t>Выполнение работ по устройству внутренней отделки полов в секциях УС1 - ШС7 на объекте "Многоэтажный многоквартирный жилой дом, расположенный на земельном участке с кадастровым номером 25:10:011500:2784 (ОКС 12.2)"</t>
  </si>
  <si>
    <t>DP-0624-089 - АР(1-7)</t>
  </si>
  <si>
    <t>9.4.5 Полы</t>
  </si>
  <si>
    <t>Расценки на СМР</t>
  </si>
  <si>
    <t>Устройство покрытия полов из плит керамогранитных
Состав работ: 
1. Доставка материала со склада заказчика до места производства работ
2. Огрунтовка поверхности
3. Облицовка поверхностей с приготовлением клея из сухой смеси
4. Заполнение швов
5. Очистка и промывка поверхности облицовки
6. Уборка строительного мусора с места производства работ до контейнера на строительной площадке</t>
  </si>
  <si>
    <t>Окраска полов полимерной краской
Состав работ: 
1. Доставка материала со склада заказчика до места производства работ
2. Выравнивание основания
3. Шлифование и обеспыливание поверхности
4. Огрунтовка основания
5. Нанесение промежуточного слоя с присыпкой песком
6. Нанесение финишного слоя с декорированием
7. Уборка строительного мусора с места производства работ до контейнера на строительной площадке</t>
  </si>
  <si>
    <t>Устройство плинтуса из керамогранита: высотой 100 мм
Состав работ: 
1. Доставка материала со склада заказчика до места производства работ
2. Огрунтовка поверхности
3. Нарезка плитки
4. Облицовка поверхностей с приготовлением клея из сухой смеси
5. Заполнение швов
6. Очистка и промывка поверхности облицовки
7. Уборка строительного мусора с места производства работ до контейнера на строительной площадке</t>
  </si>
  <si>
    <t>Устройство грязезащитной решетки
Состав работ: 
1. Доставка материала со склада заказчика до места производства работ
2. Установка решетки на место с закреплением
3. Уборка строительного мусора с места производства работ до контейнера на строительной площадке</t>
  </si>
  <si>
    <t>Устройство обмазочной гидроизоляции полов с заведением на стены на высоту 300 мм
Состав работ: 
1. Доставка материала со склада заказчика до места производства работ
2. Пропитка поверхности водой
3. Покрытие гидроизоляционным слоем поверхности с приготовлением раствора
4. Устройство армирующей сетки на внутренних углах
5. Покрытие гидроизоляционным слоем поверхности поверх сетки
6. Уборка строительного мусора с места производства работ до контейнера на строительной площадке</t>
  </si>
  <si>
    <t>Устройство стяжки с фиброволокном механизированным способом, толщиной 60 мм
Состав работ: 
1. Доставка материала со склада заказчика до места производства работ
2. Подготовка поверхности
3. Устройство демпферной ленты по периметру
4. Приготовление состава
5. Покрытие поверхности раствором
6. Нарезка деформационных швов
7. Уход за покрытием
8. Уборка строительного мусора с места производства работ до контейнера на строительной площадке</t>
  </si>
  <si>
    <t>Устройство звукоизоляции из рулонных материалов
Состав работ: 
1. Доставка материала со склада заказчика до места производства работ
2. Очистка основания
3. Заготовка полотнищ с нарезкой по размеру
4. Укладка полотнищ с прирезкой по контуру помещения
5. Проклейка стыков самоклеящейся лентой
6. Уборка строительного мусора с места производства работ до контейнера на строительной площадке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</si>
</sst>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F800]dddd\,\ mmmm\ dd\,\ yyyy"/>
    <numFmt numFmtId="166" formatCode="#,##0.000"/>
  </numFmts>
  <fonts count="50" x14ac:knownFonts="1">
    <font>
      <sz val="11"/>
      <color theme="1"/>
      <name val="Calibri"/>
      <family val="2"/>
      <scheme val="minor"/>
    </font>
    <font>
      <sz val="11"/>
      <color theme="1"/>
      <name val="Calibri"/>
      <family val="2"/>
      <charset val="204"/>
      <scheme val="minor"/>
    </font>
    <font>
      <sz val="11"/>
      <color rgb="FF000000"/>
      <name val="Calibri"/>
      <family val="2"/>
      <charset val="204"/>
    </font>
    <font>
      <sz val="12"/>
      <color theme="1"/>
      <name val="Times New Roman"/>
      <family val="1"/>
      <charset val="204"/>
    </font>
    <font>
      <i/>
      <sz val="12"/>
      <color theme="1"/>
      <name val="Times New Roman"/>
      <family val="1"/>
      <charset val="204"/>
    </font>
    <font>
      <b/>
      <sz val="14"/>
      <color theme="1"/>
      <name val="Times New Roman"/>
      <family val="1"/>
      <charset val="204"/>
    </font>
    <font>
      <b/>
      <sz val="16"/>
      <color theme="1"/>
      <name val="Times New Roman"/>
      <family val="1"/>
      <charset val="204"/>
    </font>
    <font>
      <b/>
      <sz val="14"/>
      <name val="Times New Roman"/>
      <family val="1"/>
      <charset val="204"/>
    </font>
    <font>
      <sz val="11"/>
      <color rgb="FF000000"/>
      <name val="Calibri"/>
      <family val="2"/>
      <charset val="204"/>
    </font>
    <font>
      <sz val="11"/>
      <color theme="1"/>
      <name val="Times New Roman"/>
      <family val="1"/>
      <charset val="204"/>
    </font>
    <font>
      <b/>
      <sz val="12"/>
      <color theme="1"/>
      <name val="Times New Roman"/>
      <family val="1"/>
      <charset val="204"/>
    </font>
    <font>
      <sz val="10"/>
      <color theme="1"/>
      <name val="Times New Roman"/>
      <family val="1"/>
      <charset val="204"/>
    </font>
    <font>
      <sz val="8"/>
      <color theme="1"/>
      <name val="Times New Roman"/>
      <family val="1"/>
      <charset val="204"/>
    </font>
    <font>
      <b/>
      <sz val="11"/>
      <color theme="1"/>
      <name val="Times New Roman"/>
      <family val="1"/>
      <charset val="204"/>
    </font>
    <font>
      <i/>
      <sz val="11"/>
      <color theme="1"/>
      <name val="Times New Roman"/>
      <family val="1"/>
      <charset val="204"/>
    </font>
    <font>
      <b/>
      <i/>
      <sz val="11"/>
      <color theme="1"/>
      <name val="Times New Roman"/>
      <family val="1"/>
      <charset val="204"/>
    </font>
    <font>
      <b/>
      <sz val="12"/>
      <color rgb="FF000000"/>
      <name val="Times New Roman"/>
      <family val="1"/>
      <charset val="204"/>
    </font>
    <font>
      <sz val="12"/>
      <color rgb="FF000000"/>
      <name val="Times New Roman"/>
      <family val="1"/>
      <charset val="204"/>
    </font>
    <font>
      <b/>
      <sz val="14"/>
      <color rgb="FFFF0000"/>
      <name val="Times New Roman"/>
      <family val="1"/>
      <charset val="204"/>
    </font>
    <font>
      <sz val="14"/>
      <color theme="1"/>
      <name val="Times New Roman"/>
      <family val="1"/>
      <charset val="204"/>
    </font>
    <font>
      <b/>
      <sz val="12"/>
      <name val="Times New Roman"/>
      <family val="1"/>
      <charset val="204"/>
    </font>
    <font>
      <sz val="11"/>
      <color theme="1"/>
      <name val="Calibri"/>
      <family val="2"/>
      <scheme val="minor"/>
    </font>
    <font>
      <sz val="12"/>
      <color rgb="FFFF0000"/>
      <name val="Times New Roman"/>
      <family val="1"/>
      <charset val="204"/>
    </font>
    <font>
      <sz val="12"/>
      <name val="Times New Roman"/>
      <family val="1"/>
      <charset val="204"/>
    </font>
    <font>
      <sz val="12"/>
      <color indexed="2"/>
      <name val="Times New Roman"/>
      <family val="1"/>
      <charset val="204"/>
    </font>
    <font>
      <i/>
      <sz val="12"/>
      <color theme="1"/>
      <name val="Arial"/>
      <family val="2"/>
      <charset val="204"/>
    </font>
    <font>
      <sz val="14"/>
      <name val="Times New Roman"/>
      <family val="1"/>
      <charset val="204"/>
    </font>
    <font>
      <sz val="8"/>
      <name val="Calibri"/>
      <family val="2"/>
      <scheme val="minor"/>
    </font>
    <font>
      <b/>
      <sz val="12"/>
      <color indexed="2"/>
      <name val="Times New Roman"/>
      <family val="1"/>
      <charset val="204"/>
    </font>
    <font>
      <b/>
      <sz val="16"/>
      <color rgb="FFFF0000"/>
      <name val="Times New Roman"/>
      <family val="1"/>
      <charset val="204"/>
    </font>
    <font>
      <sz val="10"/>
      <color rgb="FF000000"/>
      <name val="Times New Roman"/>
      <family val="1"/>
      <charset val="204"/>
    </font>
    <font>
      <sz val="11"/>
      <color rgb="FF000000"/>
      <name val="Calibri"/>
      <family val="2"/>
      <charset val="204"/>
    </font>
    <font>
      <b/>
      <sz val="12"/>
      <color rgb="FFFF0000"/>
      <name val="Times New Roman"/>
      <family val="1"/>
      <charset val="204"/>
    </font>
    <font>
      <sz val="11"/>
      <color rgb="FF000000"/>
      <name val="Calibri"/>
      <charset val="204"/>
    </font>
    <font>
      <sz val="4"/>
      <color theme="1"/>
      <name val="Calibri"/>
      <family val="2"/>
      <scheme val="minor"/>
    </font>
    <font>
      <b/>
      <sz val="8"/>
      <color theme="1"/>
      <name val="Times New Roman"/>
      <family val="1"/>
      <charset val="204"/>
    </font>
    <font>
      <sz val="4"/>
      <color theme="1"/>
      <name val="Times New Roman"/>
      <family val="1"/>
      <charset val="204"/>
    </font>
    <font>
      <sz val="5"/>
      <color theme="1"/>
      <name val="Times New Roman"/>
      <family val="1"/>
      <charset val="204"/>
    </font>
    <font>
      <b/>
      <sz val="16"/>
      <color rgb="FFC00000"/>
      <name val="Times New Roman"/>
      <family val="1"/>
      <charset val="204"/>
    </font>
    <font>
      <sz val="16"/>
      <color rgb="FFC00000"/>
      <name val="Times New Roman"/>
      <family val="1"/>
      <charset val="204"/>
    </font>
    <font>
      <b/>
      <sz val="11"/>
      <color theme="1"/>
      <name val="Calibri"/>
      <family val="2"/>
      <charset val="204"/>
      <scheme val="minor"/>
    </font>
    <font>
      <i/>
      <sz val="10"/>
      <color rgb="FF000000"/>
      <name val="Times New Roman"/>
      <family val="1"/>
      <charset val="204"/>
    </font>
    <font>
      <b/>
      <i/>
      <sz val="12"/>
      <color theme="1"/>
      <name val="Arial"/>
      <family val="2"/>
      <charset val="204"/>
    </font>
    <font>
      <b/>
      <i/>
      <sz val="14"/>
      <color theme="1"/>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i/>
      <sz val="9"/>
      <color rgb="FF000000"/>
      <name val="Times New Roman"/>
      <family val="1"/>
      <charset val="204"/>
    </font>
    <font>
      <b/>
      <i/>
      <sz val="10"/>
      <color rgb="FF000000"/>
      <name val="Times New Roman"/>
      <family val="1"/>
      <charset val="204"/>
    </font>
    <font>
      <b/>
      <i/>
      <sz val="9"/>
      <color rgb="FF000000"/>
      <name val="Times New Roman"/>
      <family val="1"/>
      <charset val="204"/>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medium">
        <color indexed="64"/>
      </left>
      <right style="thin">
        <color auto="1"/>
      </right>
      <top style="thin">
        <color auto="1"/>
      </top>
      <bottom/>
      <diagonal/>
    </border>
  </borders>
  <cellStyleXfs count="8">
    <xf numFmtId="0" fontId="0" fillId="0" borderId="0"/>
    <xf numFmtId="0" fontId="2" fillId="0" borderId="0"/>
    <xf numFmtId="0" fontId="8" fillId="0" borderId="0"/>
    <xf numFmtId="0" fontId="21" fillId="0" borderId="0"/>
    <xf numFmtId="0" fontId="1" fillId="0" borderId="0"/>
    <xf numFmtId="0" fontId="31" fillId="0" borderId="0"/>
    <xf numFmtId="0" fontId="33" fillId="0" borderId="0"/>
    <xf numFmtId="9" fontId="21" fillId="0" borderId="0" applyFont="0" applyFill="0" applyBorder="0" applyAlignment="0" applyProtection="0"/>
  </cellStyleXfs>
  <cellXfs count="233">
    <xf numFmtId="0" fontId="0" fillId="0" borderId="0" xfId="0"/>
    <xf numFmtId="0" fontId="0" fillId="0" borderId="0" xfId="0" applyAlignment="1">
      <alignment horizontal="left"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xf>
    <xf numFmtId="0" fontId="3" fillId="0" borderId="0" xfId="0" applyFont="1"/>
    <xf numFmtId="0" fontId="5" fillId="0" borderId="1" xfId="0" applyFont="1" applyBorder="1" applyAlignment="1">
      <alignment horizontal="center" vertical="center"/>
    </xf>
    <xf numFmtId="0" fontId="3" fillId="0" borderId="0" xfId="0" applyFont="1" applyFill="1" applyBorder="1" applyAlignment="1">
      <alignment horizontal="right" vertical="center"/>
    </xf>
    <xf numFmtId="4" fontId="3" fillId="0" borderId="0" xfId="0" applyNumberFormat="1" applyFont="1" applyBorder="1" applyAlignment="1">
      <alignment horizontal="center" vertical="center"/>
    </xf>
    <xf numFmtId="4" fontId="5" fillId="0" borderId="1" xfId="0" applyNumberFormat="1" applyFont="1" applyBorder="1" applyAlignment="1">
      <alignment horizontal="center" vertical="center"/>
    </xf>
    <xf numFmtId="0" fontId="9" fillId="0" borderId="0" xfId="0" applyFont="1"/>
    <xf numFmtId="4" fontId="13" fillId="0" borderId="1" xfId="0" applyNumberFormat="1" applyFont="1" applyBorder="1"/>
    <xf numFmtId="4" fontId="14" fillId="0" borderId="1" xfId="0" applyNumberFormat="1" applyFont="1" applyBorder="1"/>
    <xf numFmtId="4" fontId="3" fillId="2" borderId="1" xfId="0" applyNumberFormat="1" applyFont="1" applyFill="1" applyBorder="1" applyAlignment="1">
      <alignment horizontal="center" vertical="center"/>
    </xf>
    <xf numFmtId="0" fontId="17" fillId="2" borderId="0" xfId="0" applyFont="1" applyFill="1"/>
    <xf numFmtId="0" fontId="10" fillId="0" borderId="1" xfId="0" applyFont="1" applyBorder="1" applyAlignment="1">
      <alignment horizontal="center" vertical="center"/>
    </xf>
    <xf numFmtId="10" fontId="3" fillId="0" borderId="1" xfId="0" applyNumberFormat="1" applyFont="1" applyFill="1" applyBorder="1" applyAlignment="1">
      <alignment vertical="center"/>
    </xf>
    <xf numFmtId="0" fontId="3" fillId="0" borderId="1" xfId="0" applyFont="1" applyFill="1" applyBorder="1" applyAlignment="1">
      <alignment vertical="center"/>
    </xf>
    <xf numFmtId="0" fontId="10" fillId="0" borderId="1" xfId="0" applyFont="1" applyBorder="1" applyAlignment="1">
      <alignment horizontal="center" vertical="center"/>
    </xf>
    <xf numFmtId="0" fontId="0" fillId="0" borderId="0" xfId="0" applyBorder="1"/>
    <xf numFmtId="49" fontId="25" fillId="0" borderId="0" xfId="0" applyNumberFormat="1" applyFont="1" applyFill="1" applyBorder="1" applyAlignment="1" applyProtection="1">
      <alignment vertical="center" wrapText="1"/>
      <protection locked="0"/>
    </xf>
    <xf numFmtId="0" fontId="19" fillId="0" borderId="0" xfId="0" applyFont="1" applyBorder="1"/>
    <xf numFmtId="0" fontId="3" fillId="0" borderId="0" xfId="0" applyFont="1" applyBorder="1" applyAlignment="1">
      <alignment horizontal="center" vertical="top"/>
    </xf>
    <xf numFmtId="0" fontId="9" fillId="0" borderId="0" xfId="0" applyFont="1" applyBorder="1" applyAlignment="1">
      <alignment horizontal="center" vertical="top"/>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9" fillId="0" borderId="0" xfId="0" applyNumberFormat="1" applyFont="1"/>
    <xf numFmtId="0" fontId="17" fillId="2" borderId="0" xfId="0" applyNumberFormat="1" applyFont="1" applyFill="1"/>
    <xf numFmtId="4" fontId="30" fillId="0" borderId="1" xfId="1" applyNumberFormat="1" applyFont="1" applyBorder="1" applyAlignment="1">
      <alignment horizontal="right" vertical="top" wrapText="1"/>
    </xf>
    <xf numFmtId="4" fontId="3" fillId="0" borderId="1" xfId="0" applyNumberFormat="1" applyFont="1" applyBorder="1" applyAlignment="1">
      <alignment horizontal="left" vertical="center"/>
    </xf>
    <xf numFmtId="4" fontId="30" fillId="0" borderId="3" xfId="1" applyNumberFormat="1" applyFont="1" applyBorder="1" applyAlignment="1">
      <alignment horizontal="right" vertical="top" wrapText="1"/>
    </xf>
    <xf numFmtId="4" fontId="30" fillId="0" borderId="7" xfId="1" applyNumberFormat="1" applyFont="1" applyBorder="1" applyAlignment="1">
      <alignment horizontal="right" vertical="top" wrapText="1"/>
    </xf>
    <xf numFmtId="4" fontId="30" fillId="0" borderId="4" xfId="1" applyNumberFormat="1" applyFont="1" applyBorder="1" applyAlignment="1">
      <alignment horizontal="right" vertical="top" wrapText="1"/>
    </xf>
    <xf numFmtId="0" fontId="5" fillId="0" borderId="6" xfId="0" applyFont="1" applyBorder="1" applyAlignment="1">
      <alignment horizontal="center" vertical="center"/>
    </xf>
    <xf numFmtId="0" fontId="7"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left" vertical="center"/>
    </xf>
    <xf numFmtId="0" fontId="3" fillId="0" borderId="7" xfId="0" applyFont="1" applyBorder="1" applyAlignment="1">
      <alignment horizontal="left" vertical="center" wrapText="1"/>
    </xf>
    <xf numFmtId="4" fontId="3" fillId="2" borderId="7" xfId="0" applyNumberFormat="1" applyFont="1" applyFill="1" applyBorder="1" applyAlignment="1">
      <alignment horizontal="center" vertical="center"/>
    </xf>
    <xf numFmtId="4" fontId="3" fillId="0" borderId="7" xfId="0" applyNumberFormat="1" applyFont="1" applyBorder="1" applyAlignment="1">
      <alignment horizontal="center" vertical="center"/>
    </xf>
    <xf numFmtId="0" fontId="3" fillId="0" borderId="2" xfId="0" applyFont="1" applyBorder="1" applyAlignment="1"/>
    <xf numFmtId="0" fontId="3" fillId="0" borderId="4" xfId="0" applyFont="1" applyBorder="1" applyAlignment="1"/>
    <xf numFmtId="0" fontId="3" fillId="0" borderId="3" xfId="0" applyFont="1" applyBorder="1" applyAlignment="1"/>
    <xf numFmtId="164" fontId="9" fillId="0" borderId="0" xfId="0" applyNumberFormat="1" applyFont="1"/>
    <xf numFmtId="164" fontId="16" fillId="0" borderId="0" xfId="0" applyNumberFormat="1" applyFont="1" applyFill="1" applyAlignment="1">
      <alignment horizontal="left"/>
    </xf>
    <xf numFmtId="164" fontId="17" fillId="0" borderId="0" xfId="0" applyNumberFormat="1" applyFont="1" applyFill="1" applyAlignment="1">
      <alignment horizontal="left"/>
    </xf>
    <xf numFmtId="164" fontId="17" fillId="0" borderId="0" xfId="0" applyNumberFormat="1" applyFont="1" applyFill="1" applyAlignment="1">
      <alignment horizontal="center"/>
    </xf>
    <xf numFmtId="164" fontId="17" fillId="0" borderId="0" xfId="0" applyNumberFormat="1" applyFont="1" applyFill="1"/>
    <xf numFmtId="4" fontId="30" fillId="0" borderId="2" xfId="1" applyNumberFormat="1" applyFont="1" applyBorder="1" applyAlignment="1">
      <alignment horizontal="centerContinuous" vertical="top" wrapText="1"/>
    </xf>
    <xf numFmtId="4" fontId="30" fillId="0" borderId="3" xfId="1" applyNumberFormat="1" applyFont="1" applyBorder="1" applyAlignment="1">
      <alignment horizontal="centerContinuous" vertical="top" wrapText="1"/>
    </xf>
    <xf numFmtId="0" fontId="34" fillId="0" borderId="0" xfId="0" applyFont="1"/>
    <xf numFmtId="0" fontId="36" fillId="0" borderId="28" xfId="0" applyFont="1" applyBorder="1" applyAlignment="1">
      <alignment horizontal="center" vertical="center"/>
    </xf>
    <xf numFmtId="0" fontId="36" fillId="0" borderId="29" xfId="0" applyFont="1" applyBorder="1" applyAlignment="1">
      <alignment horizontal="center" vertical="center"/>
    </xf>
    <xf numFmtId="0" fontId="37" fillId="0" borderId="29" xfId="0" applyFont="1" applyBorder="1" applyAlignment="1">
      <alignment horizontal="center" vertical="center"/>
    </xf>
    <xf numFmtId="0" fontId="37" fillId="0" borderId="30" xfId="0" applyFont="1" applyBorder="1" applyAlignment="1">
      <alignment horizontal="center" vertical="center"/>
    </xf>
    <xf numFmtId="0" fontId="37" fillId="0" borderId="28" xfId="0" applyFont="1" applyBorder="1" applyAlignment="1">
      <alignment horizontal="center" vertical="center"/>
    </xf>
    <xf numFmtId="0" fontId="12" fillId="0" borderId="26" xfId="0" applyFont="1" applyBorder="1" applyAlignment="1">
      <alignment horizontal="center" vertical="center"/>
    </xf>
    <xf numFmtId="0" fontId="12" fillId="0" borderId="7" xfId="0" applyFont="1" applyBorder="1" applyAlignment="1">
      <alignment horizontal="left" vertical="center"/>
    </xf>
    <xf numFmtId="0" fontId="12" fillId="0" borderId="27" xfId="0" applyFont="1" applyBorder="1" applyAlignment="1">
      <alignment horizontal="center" vertical="center"/>
    </xf>
    <xf numFmtId="0" fontId="36" fillId="0" borderId="26" xfId="0" applyFont="1" applyBorder="1"/>
    <xf numFmtId="0" fontId="36" fillId="0" borderId="7" xfId="0" applyFont="1" applyBorder="1"/>
    <xf numFmtId="0" fontId="36" fillId="0" borderId="27" xfId="0" applyFont="1" applyBorder="1"/>
    <xf numFmtId="0" fontId="12" fillId="0" borderId="19" xfId="0" applyFont="1" applyBorder="1" applyAlignment="1">
      <alignment horizontal="center" vertical="center"/>
    </xf>
    <xf numFmtId="0" fontId="12" fillId="0" borderId="1" xfId="0" applyFont="1" applyBorder="1" applyAlignment="1">
      <alignment horizontal="left" vertical="center"/>
    </xf>
    <xf numFmtId="0" fontId="12" fillId="0" borderId="20" xfId="0" applyFont="1" applyBorder="1" applyAlignment="1">
      <alignment horizontal="center" vertical="center"/>
    </xf>
    <xf numFmtId="0" fontId="36" fillId="0" borderId="19" xfId="0" applyFont="1" applyBorder="1"/>
    <xf numFmtId="0" fontId="36" fillId="0" borderId="1" xfId="0" applyFont="1" applyBorder="1"/>
    <xf numFmtId="0" fontId="36" fillId="0" borderId="20" xfId="0" applyFont="1" applyBorder="1"/>
    <xf numFmtId="0" fontId="12" fillId="0" borderId="6" xfId="0" applyFont="1" applyBorder="1" applyAlignment="1">
      <alignment horizontal="left" vertical="center"/>
    </xf>
    <xf numFmtId="0" fontId="12" fillId="0" borderId="32" xfId="0" applyFont="1" applyBorder="1" applyAlignment="1">
      <alignment horizontal="center" vertical="center"/>
    </xf>
    <xf numFmtId="0" fontId="36" fillId="0" borderId="33" xfId="0" applyFont="1" applyBorder="1"/>
    <xf numFmtId="0" fontId="36" fillId="0" borderId="6" xfId="0" applyFont="1" applyBorder="1"/>
    <xf numFmtId="0" fontId="36" fillId="0" borderId="32" xfId="0" applyFont="1" applyBorder="1"/>
    <xf numFmtId="0" fontId="12" fillId="0" borderId="22" xfId="0" applyFont="1" applyBorder="1" applyAlignment="1">
      <alignment horizontal="left" vertical="center"/>
    </xf>
    <xf numFmtId="0" fontId="12" fillId="0" borderId="23" xfId="0" applyFont="1" applyBorder="1" applyAlignment="1">
      <alignment horizontal="center" vertical="center"/>
    </xf>
    <xf numFmtId="0" fontId="36" fillId="0" borderId="21" xfId="0" applyFont="1" applyBorder="1"/>
    <xf numFmtId="0" fontId="36" fillId="0" borderId="22" xfId="0" applyFont="1" applyBorder="1"/>
    <xf numFmtId="0" fontId="36" fillId="0" borderId="23" xfId="0" applyFont="1" applyBorder="1"/>
    <xf numFmtId="0" fontId="12" fillId="0" borderId="0" xfId="0" applyFont="1"/>
    <xf numFmtId="4" fontId="3" fillId="0" borderId="1" xfId="0" applyNumberFormat="1" applyFont="1" applyBorder="1" applyAlignment="1">
      <alignment horizontal="center" vertical="center" wrapText="1"/>
    </xf>
    <xf numFmtId="0" fontId="29" fillId="0" borderId="0" xfId="0" applyFont="1" applyFill="1" applyAlignment="1"/>
    <xf numFmtId="0" fontId="10" fillId="0" borderId="1" xfId="0" applyFont="1" applyFill="1" applyBorder="1" applyAlignment="1">
      <alignment horizontal="center" vertical="center" wrapText="1"/>
    </xf>
    <xf numFmtId="0" fontId="0" fillId="0" borderId="0" xfId="0" applyNumberFormat="1"/>
    <xf numFmtId="0" fontId="10" fillId="0" borderId="1" xfId="0" applyFont="1" applyBorder="1" applyAlignment="1">
      <alignment horizontal="left" vertical="center"/>
    </xf>
    <xf numFmtId="0" fontId="5" fillId="0" borderId="1" xfId="0" applyFont="1" applyBorder="1" applyAlignment="1">
      <alignment horizontal="center" vertical="center"/>
    </xf>
    <xf numFmtId="4" fontId="30" fillId="0" borderId="1" xfId="1" applyNumberFormat="1" applyFont="1" applyBorder="1" applyAlignment="1">
      <alignment horizontal="center" vertical="center" wrapText="1"/>
    </xf>
    <xf numFmtId="0" fontId="14" fillId="0" borderId="0" xfId="0" applyFont="1"/>
    <xf numFmtId="4" fontId="30" fillId="3" borderId="1" xfId="2" applyNumberFormat="1" applyFont="1" applyFill="1" applyBorder="1" applyAlignment="1">
      <alignment horizontal="center" vertical="top" wrapText="1"/>
    </xf>
    <xf numFmtId="166" fontId="30" fillId="3" borderId="1" xfId="2" applyNumberFormat="1" applyFont="1" applyFill="1" applyBorder="1" applyAlignment="1">
      <alignment horizontal="center" vertical="top" wrapText="1"/>
    </xf>
    <xf numFmtId="4" fontId="30" fillId="3" borderId="1" xfId="2" applyNumberFormat="1" applyFont="1" applyFill="1" applyBorder="1" applyAlignment="1">
      <alignment horizontal="center" vertical="center" wrapText="1"/>
    </xf>
    <xf numFmtId="0" fontId="41" fillId="0" borderId="1" xfId="2" applyFont="1" applyBorder="1" applyAlignment="1">
      <alignment horizontal="center" vertical="center" wrapText="1"/>
    </xf>
    <xf numFmtId="0" fontId="41" fillId="0" borderId="1" xfId="2" applyFont="1" applyFill="1" applyBorder="1" applyAlignment="1">
      <alignment horizontal="center" vertical="center" wrapText="1"/>
    </xf>
    <xf numFmtId="0" fontId="10" fillId="0" borderId="7" xfId="0" applyFont="1" applyBorder="1" applyAlignment="1">
      <alignment horizontal="left" vertical="center"/>
    </xf>
    <xf numFmtId="0" fontId="10" fillId="0" borderId="4" xfId="0" applyFont="1" applyBorder="1" applyAlignment="1"/>
    <xf numFmtId="4" fontId="10" fillId="0" borderId="1" xfId="0" applyNumberFormat="1" applyFont="1" applyBorder="1" applyAlignment="1">
      <alignment horizontal="left" vertical="center"/>
    </xf>
    <xf numFmtId="0" fontId="10" fillId="0" borderId="0" xfId="0" applyFont="1"/>
    <xf numFmtId="0" fontId="40" fillId="0" borderId="0" xfId="0" applyFont="1"/>
    <xf numFmtId="10" fontId="10" fillId="0"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pplyAlignment="1">
      <alignment horizontal="center" vertical="center"/>
    </xf>
    <xf numFmtId="0" fontId="10" fillId="0" borderId="1" xfId="0" applyFont="1" applyFill="1" applyBorder="1" applyAlignment="1">
      <alignment vertical="center" wrapText="1"/>
    </xf>
    <xf numFmtId="0" fontId="40" fillId="0" borderId="0" xfId="0" applyFont="1" applyBorder="1"/>
    <xf numFmtId="49" fontId="42" fillId="0" borderId="0" xfId="0" applyNumberFormat="1" applyFont="1" applyFill="1" applyBorder="1" applyAlignment="1" applyProtection="1">
      <alignment vertical="center" wrapText="1"/>
      <protection locked="0"/>
    </xf>
    <xf numFmtId="166" fontId="3" fillId="0" borderId="1" xfId="0" applyNumberFormat="1" applyFont="1" applyBorder="1" applyAlignment="1">
      <alignment horizontal="center" vertical="center"/>
    </xf>
    <xf numFmtId="4" fontId="44" fillId="3" borderId="1" xfId="2" applyNumberFormat="1" applyFont="1" applyFill="1" applyBorder="1" applyAlignment="1">
      <alignment horizontal="center" vertical="top" wrapText="1"/>
    </xf>
    <xf numFmtId="4" fontId="44" fillId="0" borderId="7" xfId="1" applyNumberFormat="1" applyFont="1" applyBorder="1" applyAlignment="1">
      <alignment horizontal="right" vertical="top" wrapText="1"/>
    </xf>
    <xf numFmtId="0" fontId="44" fillId="0" borderId="2" xfId="5" applyNumberFormat="1" applyFont="1" applyFill="1" applyBorder="1" applyAlignment="1" applyProtection="1">
      <alignment horizontal="left" vertical="top"/>
    </xf>
    <xf numFmtId="49" fontId="45" fillId="0" borderId="4" xfId="5" applyNumberFormat="1" applyFont="1" applyFill="1" applyBorder="1" applyAlignment="1" applyProtection="1">
      <alignment horizontal="left" vertical="top" wrapText="1"/>
    </xf>
    <xf numFmtId="0" fontId="46" fillId="0" borderId="4" xfId="5" applyNumberFormat="1" applyFont="1" applyFill="1" applyBorder="1" applyAlignment="1" applyProtection="1">
      <alignment vertical="top" wrapText="1"/>
    </xf>
    <xf numFmtId="49" fontId="47" fillId="0" borderId="4" xfId="5" applyNumberFormat="1" applyFont="1" applyFill="1" applyBorder="1" applyAlignment="1" applyProtection="1">
      <alignment horizontal="center" vertical="top" wrapText="1"/>
    </xf>
    <xf numFmtId="49" fontId="46" fillId="0" borderId="4" xfId="5" applyNumberFormat="1" applyFont="1" applyFill="1" applyBorder="1" applyAlignment="1" applyProtection="1">
      <alignment horizontal="center" vertical="top" wrapText="1"/>
    </xf>
    <xf numFmtId="164" fontId="46" fillId="0" borderId="4" xfId="5" applyNumberFormat="1" applyFont="1" applyFill="1" applyBorder="1" applyAlignment="1" applyProtection="1">
      <alignment horizontal="center" vertical="top" wrapText="1"/>
    </xf>
    <xf numFmtId="164" fontId="46" fillId="3" borderId="4" xfId="5" applyNumberFormat="1" applyFont="1" applyFill="1" applyBorder="1" applyAlignment="1" applyProtection="1">
      <alignment horizontal="center" vertical="top" wrapText="1"/>
    </xf>
    <xf numFmtId="0" fontId="48" fillId="0" borderId="2" xfId="5" applyNumberFormat="1" applyFont="1" applyFill="1" applyBorder="1" applyAlignment="1" applyProtection="1">
      <alignment horizontal="left" vertical="top"/>
    </xf>
    <xf numFmtId="49" fontId="45" fillId="0" borderId="1" xfId="6" applyNumberFormat="1" applyFont="1" applyFill="1" applyBorder="1" applyAlignment="1" applyProtection="1">
      <alignment horizontal="center" vertical="top" wrapText="1"/>
    </xf>
    <xf numFmtId="49" fontId="45" fillId="0" borderId="1" xfId="6" applyNumberFormat="1" applyFont="1" applyFill="1" applyBorder="1" applyAlignment="1" applyProtection="1">
      <alignment horizontal="left" vertical="top" wrapText="1"/>
    </xf>
    <xf numFmtId="0" fontId="45" fillId="0" borderId="1" xfId="6" applyNumberFormat="1" applyFont="1" applyFill="1" applyBorder="1" applyAlignment="1" applyProtection="1">
      <alignment horizontal="left" vertical="top" wrapText="1"/>
    </xf>
    <xf numFmtId="0" fontId="49" fillId="0" borderId="1" xfId="6" applyNumberFormat="1" applyFont="1" applyFill="1" applyBorder="1" applyAlignment="1" applyProtection="1">
      <alignment horizontal="center" vertical="top" wrapText="1"/>
    </xf>
    <xf numFmtId="2" fontId="45" fillId="0" borderId="1" xfId="6" applyNumberFormat="1" applyFont="1" applyFill="1" applyBorder="1" applyAlignment="1" applyProtection="1">
      <alignment horizontal="center" vertical="top" wrapText="1"/>
    </xf>
    <xf numFmtId="49" fontId="46" fillId="0" borderId="1" xfId="6" applyNumberFormat="1" applyFont="1" applyFill="1" applyBorder="1" applyAlignment="1" applyProtection="1">
      <alignment horizontal="center" vertical="top" wrapText="1"/>
    </xf>
    <xf numFmtId="0" fontId="46" fillId="0" borderId="1" xfId="6" applyNumberFormat="1" applyFont="1" applyFill="1" applyBorder="1" applyAlignment="1" applyProtection="1">
      <alignment horizontal="left" vertical="top" wrapText="1"/>
    </xf>
    <xf numFmtId="0" fontId="47" fillId="0" borderId="1" xfId="6" applyNumberFormat="1" applyFont="1" applyFill="1" applyBorder="1" applyAlignment="1" applyProtection="1">
      <alignment horizontal="center" vertical="top" wrapText="1"/>
    </xf>
    <xf numFmtId="2" fontId="46" fillId="0" borderId="1" xfId="6" applyNumberFormat="1" applyFont="1" applyFill="1" applyBorder="1" applyAlignment="1" applyProtection="1">
      <alignment horizontal="center" vertical="top" wrapText="1"/>
    </xf>
    <xf numFmtId="2" fontId="46" fillId="3" borderId="1" xfId="6" applyNumberFormat="1" applyFont="1" applyFill="1" applyBorder="1" applyAlignment="1" applyProtection="1">
      <alignment horizontal="center" vertical="top" wrapText="1"/>
    </xf>
    <xf numFmtId="164" fontId="46" fillId="0" borderId="1" xfId="6" applyNumberFormat="1" applyFont="1" applyFill="1" applyBorder="1" applyAlignment="1" applyProtection="1">
      <alignment horizontal="center" vertical="top" wrapText="1"/>
    </xf>
    <xf numFmtId="164" fontId="45" fillId="3" borderId="1" xfId="6" applyNumberFormat="1" applyFont="1" applyFill="1" applyBorder="1" applyAlignment="1" applyProtection="1">
      <alignment horizontal="center" vertical="top" wrapText="1"/>
    </xf>
    <xf numFmtId="164" fontId="46" fillId="3" borderId="1" xfId="6" applyNumberFormat="1" applyFont="1" applyFill="1" applyBorder="1" applyAlignment="1" applyProtection="1">
      <alignment horizontal="center" vertical="top" wrapText="1"/>
    </xf>
    <xf numFmtId="0" fontId="9" fillId="0" borderId="0" xfId="0" applyFont="1" applyFill="1"/>
    <xf numFmtId="4" fontId="3" fillId="0" borderId="2" xfId="0" applyNumberFormat="1" applyFont="1" applyBorder="1" applyAlignment="1">
      <alignment horizontal="center" vertical="center"/>
    </xf>
    <xf numFmtId="4" fontId="3" fillId="0" borderId="3" xfId="0" applyNumberFormat="1" applyFont="1" applyBorder="1" applyAlignment="1">
      <alignment horizontal="center" vertical="center"/>
    </xf>
    <xf numFmtId="49" fontId="3" fillId="2" borderId="2"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49" fontId="23" fillId="0" borderId="1" xfId="3" applyNumberFormat="1" applyFont="1" applyBorder="1" applyAlignment="1" applyProtection="1">
      <alignment horizontal="left" vertical="center" wrapText="1"/>
    </xf>
    <xf numFmtId="0" fontId="20" fillId="0" borderId="2"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0" fontId="20" fillId="0" borderId="3" xfId="0" applyNumberFormat="1" applyFont="1" applyFill="1" applyBorder="1" applyAlignment="1">
      <alignment horizontal="center" vertical="center" wrapText="1"/>
    </xf>
    <xf numFmtId="0" fontId="4" fillId="0" borderId="11" xfId="0" applyFont="1" applyBorder="1" applyAlignment="1">
      <alignment horizontal="center" vertical="top"/>
    </xf>
    <xf numFmtId="49" fontId="20" fillId="0" borderId="1" xfId="3" applyNumberFormat="1" applyFont="1" applyBorder="1" applyAlignment="1" applyProtection="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10" fillId="0" borderId="6"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1" fillId="0" borderId="0" xfId="0" applyFont="1" applyBorder="1" applyAlignment="1">
      <alignment horizontal="center" vertical="top"/>
    </xf>
    <xf numFmtId="49" fontId="26" fillId="0" borderId="11" xfId="3" applyNumberFormat="1" applyFont="1" applyBorder="1" applyAlignment="1" applyProtection="1">
      <alignment horizontal="center" vertical="center" wrapText="1"/>
    </xf>
    <xf numFmtId="49" fontId="26" fillId="0" borderId="0" xfId="3" applyNumberFormat="1" applyFont="1" applyBorder="1" applyAlignment="1" applyProtection="1">
      <alignment horizontal="right" vertical="center" wrapText="1"/>
    </xf>
    <xf numFmtId="49" fontId="7" fillId="0" borderId="11" xfId="3" applyNumberFormat="1" applyFont="1" applyBorder="1" applyAlignment="1" applyProtection="1">
      <alignment horizontal="left" vertical="center" wrapText="1"/>
    </xf>
    <xf numFmtId="49" fontId="26" fillId="0" borderId="11" xfId="3" applyNumberFormat="1" applyFont="1" applyBorder="1" applyAlignment="1" applyProtection="1">
      <alignment horizontal="left" vertical="center" wrapText="1"/>
    </xf>
    <xf numFmtId="0" fontId="10" fillId="0" borderId="1" xfId="0" applyFont="1" applyBorder="1" applyAlignment="1">
      <alignment horizontal="center" vertical="center"/>
    </xf>
    <xf numFmtId="49" fontId="23" fillId="0" borderId="14" xfId="3" applyNumberFormat="1" applyFont="1" applyBorder="1" applyAlignment="1" applyProtection="1">
      <alignment horizontal="left" vertical="center" wrapText="1"/>
    </xf>
    <xf numFmtId="49" fontId="23" fillId="0" borderId="15" xfId="3" applyNumberFormat="1" applyFont="1" applyBorder="1" applyAlignment="1" applyProtection="1">
      <alignment horizontal="left" vertical="center" wrapText="1"/>
    </xf>
    <xf numFmtId="49" fontId="20" fillId="0" borderId="14" xfId="3" applyNumberFormat="1" applyFont="1" applyBorder="1" applyAlignment="1" applyProtection="1">
      <alignment horizontal="left" vertical="center" wrapText="1"/>
    </xf>
    <xf numFmtId="0" fontId="20" fillId="0" borderId="4" xfId="0" applyNumberFormat="1" applyFont="1" applyFill="1" applyBorder="1" applyAlignment="1">
      <alignment horizontal="center" vertical="center"/>
    </xf>
    <xf numFmtId="0" fontId="20" fillId="0" borderId="3" xfId="0" applyNumberFormat="1" applyFont="1" applyFill="1" applyBorder="1" applyAlignment="1">
      <alignment horizontal="center" vertical="center"/>
    </xf>
    <xf numFmtId="49" fontId="23" fillId="0" borderId="12" xfId="3" applyNumberFormat="1" applyFont="1" applyBorder="1" applyAlignment="1" applyProtection="1">
      <alignment horizontal="left" vertical="center" wrapText="1"/>
    </xf>
    <xf numFmtId="49" fontId="23" fillId="0" borderId="13" xfId="3" applyNumberFormat="1" applyFont="1" applyBorder="1" applyAlignment="1" applyProtection="1">
      <alignment horizontal="left" vertical="center" wrapText="1"/>
    </xf>
    <xf numFmtId="0" fontId="5" fillId="0" borderId="0" xfId="0" applyFont="1" applyAlignment="1">
      <alignment horizontal="right" vertical="center" wrapText="1"/>
    </xf>
    <xf numFmtId="0" fontId="19" fillId="0" borderId="11" xfId="0" applyFont="1" applyFill="1" applyBorder="1" applyAlignment="1">
      <alignment horizontal="left" vertical="center" wrapText="1"/>
    </xf>
    <xf numFmtId="0" fontId="19" fillId="0" borderId="11" xfId="0" applyFont="1" applyBorder="1" applyAlignment="1">
      <alignment horizontal="left" vertical="center" wrapText="1"/>
    </xf>
    <xf numFmtId="0" fontId="19" fillId="2" borderId="4" xfId="0" applyFont="1" applyFill="1" applyBorder="1" applyAlignment="1">
      <alignment horizontal="left" vertical="center" wrapText="1"/>
    </xf>
    <xf numFmtId="0" fontId="38" fillId="2" borderId="0" xfId="0" applyFont="1" applyFill="1" applyAlignment="1">
      <alignment horizontal="left"/>
    </xf>
    <xf numFmtId="0" fontId="39" fillId="0" borderId="0" xfId="0" applyFont="1" applyFill="1" applyAlignment="1">
      <alignment horizontal="left" vertical="center" wrapText="1"/>
    </xf>
    <xf numFmtId="0" fontId="5" fillId="0" borderId="0" xfId="0" applyFont="1" applyFill="1" applyAlignment="1">
      <alignment horizontal="center" vertical="center" wrapText="1"/>
    </xf>
    <xf numFmtId="0" fontId="43" fillId="0" borderId="0" xfId="0" applyFont="1" applyAlignment="1">
      <alignment horizontal="center" vertical="top"/>
    </xf>
    <xf numFmtId="0" fontId="6" fillId="0" borderId="0" xfId="0" applyFont="1" applyFill="1" applyAlignment="1">
      <alignment horizontal="right"/>
    </xf>
    <xf numFmtId="165" fontId="6" fillId="2" borderId="0" xfId="0" applyNumberFormat="1" applyFont="1" applyFill="1" applyAlignment="1">
      <alignment horizontal="left"/>
    </xf>
    <xf numFmtId="0" fontId="10" fillId="0" borderId="2" xfId="0" applyFont="1" applyBorder="1" applyAlignment="1">
      <alignment horizontal="left" vertical="center"/>
    </xf>
    <xf numFmtId="0" fontId="10" fillId="0" borderId="4" xfId="0" applyFont="1" applyBorder="1" applyAlignment="1">
      <alignment horizontal="left" vertical="center"/>
    </xf>
    <xf numFmtId="0" fontId="10" fillId="0" borderId="3" xfId="0" applyFont="1" applyBorder="1" applyAlignment="1">
      <alignment horizontal="left" vertical="center"/>
    </xf>
    <xf numFmtId="0" fontId="10" fillId="0" borderId="1" xfId="0" applyFont="1" applyFill="1" applyBorder="1" applyAlignment="1">
      <alignment horizontal="right" vertical="center"/>
    </xf>
    <xf numFmtId="0" fontId="5" fillId="0" borderId="1" xfId="0" applyFont="1" applyFill="1" applyBorder="1" applyAlignment="1">
      <alignment horizontal="right" vertical="center"/>
    </xf>
    <xf numFmtId="0" fontId="5" fillId="0" borderId="1" xfId="0" applyFont="1" applyBorder="1" applyAlignment="1">
      <alignment horizontal="center" vertical="center"/>
    </xf>
    <xf numFmtId="0" fontId="10" fillId="0" borderId="1" xfId="0" applyNumberFormat="1" applyFont="1" applyFill="1" applyBorder="1" applyAlignment="1">
      <alignment horizontal="right" vertical="center"/>
    </xf>
    <xf numFmtId="9" fontId="3" fillId="2" borderId="2" xfId="7" applyFont="1" applyFill="1" applyBorder="1" applyAlignment="1">
      <alignment horizontal="center" vertical="center"/>
    </xf>
    <xf numFmtId="9" fontId="3" fillId="2" borderId="4" xfId="7" applyFont="1" applyFill="1" applyBorder="1" applyAlignment="1">
      <alignment horizontal="center" vertical="center"/>
    </xf>
    <xf numFmtId="9" fontId="3" fillId="2" borderId="3" xfId="7" applyFont="1" applyFill="1" applyBorder="1" applyAlignment="1">
      <alignment horizontal="center" vertical="center"/>
    </xf>
    <xf numFmtId="164" fontId="30" fillId="3" borderId="6" xfId="1" applyNumberFormat="1" applyFont="1" applyFill="1" applyBorder="1" applyAlignment="1" applyProtection="1">
      <alignment horizontal="center" vertical="center" wrapText="1"/>
    </xf>
    <xf numFmtId="164" fontId="30" fillId="3" borderId="8" xfId="1" applyNumberFormat="1" applyFont="1" applyFill="1" applyBorder="1" applyAlignment="1" applyProtection="1">
      <alignment horizontal="center" vertical="center" wrapText="1"/>
    </xf>
    <xf numFmtId="164" fontId="30" fillId="3" borderId="7" xfId="1" applyNumberFormat="1" applyFont="1" applyFill="1" applyBorder="1" applyAlignment="1" applyProtection="1">
      <alignment horizontal="center" vertical="center" wrapText="1"/>
    </xf>
    <xf numFmtId="0" fontId="11" fillId="0" borderId="0" xfId="0" applyFont="1" applyFill="1" applyAlignment="1">
      <alignment horizontal="center" wrapText="1"/>
    </xf>
    <xf numFmtId="0" fontId="12" fillId="0" borderId="5" xfId="0" applyFont="1" applyBorder="1" applyAlignment="1">
      <alignment horizontal="center" vertical="top"/>
    </xf>
    <xf numFmtId="0" fontId="16" fillId="2" borderId="0" xfId="0" applyFont="1" applyFill="1" applyAlignment="1">
      <alignment horizontal="left"/>
    </xf>
    <xf numFmtId="0" fontId="17" fillId="2" borderId="0" xfId="0" applyFont="1" applyFill="1" applyAlignment="1">
      <alignment horizontal="left"/>
    </xf>
    <xf numFmtId="0" fontId="17" fillId="2" borderId="0" xfId="0" applyFont="1" applyFill="1" applyAlignment="1">
      <alignment horizontal="center"/>
    </xf>
    <xf numFmtId="0" fontId="10" fillId="0" borderId="0" xfId="0" applyFont="1" applyAlignment="1">
      <alignment horizontal="center"/>
    </xf>
    <xf numFmtId="49" fontId="41" fillId="0" borderId="6" xfId="1" applyNumberFormat="1" applyFont="1" applyFill="1" applyBorder="1" applyAlignment="1" applyProtection="1">
      <alignment horizontal="center" vertical="center" wrapText="1"/>
    </xf>
    <xf numFmtId="49" fontId="41" fillId="0" borderId="8" xfId="1" applyNumberFormat="1" applyFont="1" applyFill="1" applyBorder="1" applyAlignment="1" applyProtection="1">
      <alignment horizontal="center" vertical="center" wrapText="1"/>
    </xf>
    <xf numFmtId="49" fontId="41" fillId="0" borderId="7" xfId="1" applyNumberFormat="1" applyFont="1" applyFill="1" applyBorder="1" applyAlignment="1" applyProtection="1">
      <alignment horizontal="center" vertical="center" wrapText="1"/>
    </xf>
    <xf numFmtId="0" fontId="13" fillId="0" borderId="2" xfId="0" applyFont="1" applyBorder="1" applyAlignment="1">
      <alignment horizontal="right"/>
    </xf>
    <xf numFmtId="0" fontId="13" fillId="0" borderId="4" xfId="0" applyFont="1" applyBorder="1" applyAlignment="1">
      <alignment horizontal="right"/>
    </xf>
    <xf numFmtId="0" fontId="13" fillId="0" borderId="3" xfId="0" applyFont="1" applyBorder="1" applyAlignment="1">
      <alignment horizontal="right"/>
    </xf>
    <xf numFmtId="49" fontId="30" fillId="0" borderId="2" xfId="1" applyNumberFormat="1" applyFont="1" applyFill="1" applyBorder="1" applyAlignment="1" applyProtection="1">
      <alignment horizontal="center" vertical="center" wrapText="1"/>
    </xf>
    <xf numFmtId="49" fontId="30" fillId="0" borderId="4" xfId="1" applyNumberFormat="1" applyFont="1" applyFill="1" applyBorder="1" applyAlignment="1" applyProtection="1">
      <alignment horizontal="center" vertical="center" wrapText="1"/>
    </xf>
    <xf numFmtId="49" fontId="30" fillId="0" borderId="3" xfId="1" applyNumberFormat="1" applyFont="1" applyFill="1" applyBorder="1" applyAlignment="1" applyProtection="1">
      <alignment horizontal="center" vertical="center" wrapText="1"/>
    </xf>
    <xf numFmtId="49" fontId="30" fillId="0" borderId="6" xfId="1" applyNumberFormat="1" applyFont="1" applyFill="1" applyBorder="1" applyAlignment="1" applyProtection="1">
      <alignment horizontal="center" vertical="center" wrapText="1"/>
    </xf>
    <xf numFmtId="49" fontId="30" fillId="0" borderId="8" xfId="1" applyNumberFormat="1" applyFont="1" applyFill="1" applyBorder="1" applyAlignment="1" applyProtection="1">
      <alignment horizontal="center" vertical="center" wrapText="1"/>
    </xf>
    <xf numFmtId="0" fontId="30" fillId="0" borderId="6" xfId="1" applyNumberFormat="1" applyFont="1" applyFill="1" applyBorder="1" applyAlignment="1" applyProtection="1">
      <alignment horizontal="center" vertical="center" wrapText="1"/>
    </xf>
    <xf numFmtId="0" fontId="30" fillId="0" borderId="8" xfId="1" applyNumberFormat="1" applyFont="1" applyFill="1" applyBorder="1" applyAlignment="1" applyProtection="1">
      <alignment horizontal="center" vertical="center" wrapText="1"/>
    </xf>
    <xf numFmtId="49" fontId="30" fillId="0" borderId="9" xfId="1" applyNumberFormat="1" applyFont="1" applyFill="1" applyBorder="1" applyAlignment="1" applyProtection="1">
      <alignment horizontal="center" vertical="center" wrapText="1"/>
    </xf>
    <xf numFmtId="49" fontId="30" fillId="0" borderId="10" xfId="1" applyNumberFormat="1" applyFont="1" applyFill="1" applyBorder="1" applyAlignment="1" applyProtection="1">
      <alignment horizontal="center" vertical="center" wrapText="1"/>
    </xf>
    <xf numFmtId="164" fontId="30" fillId="0" borderId="6" xfId="1" applyNumberFormat="1" applyFont="1" applyFill="1" applyBorder="1" applyAlignment="1" applyProtection="1">
      <alignment horizontal="center" vertical="center" wrapText="1"/>
    </xf>
    <xf numFmtId="164" fontId="30" fillId="0" borderId="8" xfId="1" applyNumberFormat="1" applyFont="1" applyFill="1" applyBorder="1" applyAlignment="1" applyProtection="1">
      <alignment horizontal="center" vertical="center" wrapText="1"/>
    </xf>
    <xf numFmtId="0" fontId="15" fillId="0" borderId="2" xfId="0" applyFont="1" applyBorder="1" applyAlignment="1">
      <alignment horizontal="right"/>
    </xf>
    <xf numFmtId="0" fontId="15" fillId="0" borderId="4" xfId="0" applyFont="1" applyBorder="1" applyAlignment="1">
      <alignment horizontal="right"/>
    </xf>
    <xf numFmtId="0" fontId="15" fillId="0" borderId="3" xfId="0" applyFont="1" applyBorder="1" applyAlignment="1">
      <alignment horizontal="right"/>
    </xf>
    <xf numFmtId="0" fontId="14" fillId="0" borderId="2" xfId="0" applyFont="1" applyBorder="1" applyAlignment="1">
      <alignment horizontal="right"/>
    </xf>
    <xf numFmtId="0" fontId="14" fillId="0" borderId="4" xfId="0" applyFont="1" applyBorder="1" applyAlignment="1">
      <alignment horizontal="right"/>
    </xf>
    <xf numFmtId="0" fontId="14" fillId="0" borderId="3" xfId="0" applyFont="1" applyBorder="1" applyAlignment="1">
      <alignment horizontal="right"/>
    </xf>
    <xf numFmtId="0" fontId="10" fillId="0" borderId="0" xfId="0" applyFont="1" applyAlignment="1">
      <alignment horizontal="center" vertical="center"/>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31" xfId="0" applyFont="1" applyBorder="1" applyAlignment="1">
      <alignment horizontal="left" vertical="center"/>
    </xf>
    <xf numFmtId="0" fontId="35" fillId="0" borderId="16" xfId="0" applyFont="1" applyBorder="1" applyAlignment="1">
      <alignment horizontal="center" vertical="center"/>
    </xf>
    <xf numFmtId="0" fontId="35" fillId="0" borderId="19" xfId="0" applyFont="1" applyBorder="1" applyAlignment="1">
      <alignment horizontal="center" vertical="center"/>
    </xf>
    <xf numFmtId="0" fontId="35" fillId="0" borderId="21" xfId="0" applyFont="1" applyBorder="1" applyAlignment="1">
      <alignment horizontal="center" vertical="center"/>
    </xf>
    <xf numFmtId="0" fontId="35" fillId="0" borderId="17" xfId="0" applyFont="1" applyBorder="1" applyAlignment="1">
      <alignment horizontal="center" vertical="center"/>
    </xf>
    <xf numFmtId="0" fontId="35" fillId="0" borderId="1" xfId="0" applyFont="1" applyBorder="1" applyAlignment="1">
      <alignment horizontal="center" vertical="center"/>
    </xf>
    <xf numFmtId="0" fontId="35" fillId="0" borderId="22" xfId="0" applyFont="1" applyBorder="1" applyAlignment="1">
      <alignment horizontal="center" vertical="center"/>
    </xf>
    <xf numFmtId="0" fontId="35" fillId="0" borderId="18" xfId="0" applyFont="1" applyBorder="1" applyAlignment="1">
      <alignment horizontal="center" vertical="center"/>
    </xf>
    <xf numFmtId="0" fontId="35" fillId="0" borderId="20" xfId="0" applyFont="1" applyBorder="1" applyAlignment="1">
      <alignment horizontal="center" vertical="center"/>
    </xf>
    <xf numFmtId="0" fontId="35" fillId="0" borderId="23" xfId="0" applyFont="1" applyBorder="1" applyAlignment="1">
      <alignment horizontal="center" vertical="center"/>
    </xf>
    <xf numFmtId="0" fontId="35" fillId="0" borderId="18" xfId="0" applyFont="1" applyBorder="1" applyAlignment="1">
      <alignment horizontal="center" vertical="center" wrapText="1"/>
    </xf>
    <xf numFmtId="0" fontId="35" fillId="0" borderId="20" xfId="0" applyFont="1" applyBorder="1" applyAlignment="1">
      <alignment horizontal="center" vertical="center" wrapText="1"/>
    </xf>
    <xf numFmtId="0" fontId="35" fillId="0" borderId="23" xfId="0" applyFont="1" applyBorder="1" applyAlignment="1">
      <alignment horizontal="center" vertical="center" wrapText="1"/>
    </xf>
    <xf numFmtId="0" fontId="35" fillId="0" borderId="28" xfId="0" applyFont="1" applyBorder="1" applyAlignment="1">
      <alignment horizontal="center" vertical="center"/>
    </xf>
    <xf numFmtId="0" fontId="35" fillId="0" borderId="29" xfId="0" applyFont="1" applyBorder="1" applyAlignment="1">
      <alignment horizontal="center" vertical="center"/>
    </xf>
    <xf numFmtId="0" fontId="35" fillId="0" borderId="30" xfId="0" applyFont="1" applyBorder="1" applyAlignment="1">
      <alignment horizontal="center" vertical="center"/>
    </xf>
    <xf numFmtId="0" fontId="10" fillId="0" borderId="0" xfId="0" applyFont="1" applyAlignment="1">
      <alignment horizontal="center" vertical="center" wrapText="1"/>
    </xf>
  </cellXfs>
  <cellStyles count="8">
    <cellStyle name="Обычный" xfId="0" builtinId="0"/>
    <cellStyle name="Обычный 2" xfId="1" xr:uid="{F316AD0A-A76D-4B7C-854E-20CC9CC0DADF}"/>
    <cellStyle name="Обычный 3" xfId="2" xr:uid="{BC9CAD33-BFF4-4CE3-850C-AE48BC9A9CEC}"/>
    <cellStyle name="Обычный 4" xfId="3" xr:uid="{53F4C086-CA4C-476B-89CE-2C6B075555AC}"/>
    <cellStyle name="Обычный 4 2" xfId="4" xr:uid="{55EA5F9F-83E0-445A-AB1D-0272F037FC5E}"/>
    <cellStyle name="Обычный 5" xfId="5" xr:uid="{03902C3C-18D5-445C-B845-5BA2D393F9D0}"/>
    <cellStyle name="Обычный 6" xfId="6" xr:uid="{3091D09F-130C-4260-B61E-D6EA66B107D2}"/>
    <cellStyle name="Процентный" xfId="7" builtinId="5"/>
  </cellStyles>
  <dxfs count="22">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fill>
        <patternFill patternType="none">
          <bgColor auto="1"/>
        </patternFill>
      </fill>
    </dxf>
    <dxf>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numFmt numFmtId="4" formatCode="#,##0.00"/>
      <fill>
        <patternFill patternType="none">
          <bgColor auto="1"/>
        </patternFill>
      </fill>
    </dxf>
    <dxf>
      <font>
        <b val="0"/>
        <i val="0"/>
        <strike val="0"/>
        <color auto="1"/>
      </font>
      <fill>
        <patternFill>
          <bgColor theme="4"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pageSetUpPr fitToPage="1"/>
  </sheetPr>
  <dimension ref="A1:P93"/>
  <sheetViews>
    <sheetView tabSelected="1" view="pageBreakPreview" zoomScale="70" zoomScaleNormal="70" zoomScaleSheetLayoutView="70" zoomScalePageLayoutView="55" workbookViewId="0">
      <selection activeCell="A2" sqref="A2:G2"/>
    </sheetView>
  </sheetViews>
  <sheetFormatPr defaultRowHeight="15" x14ac:dyDescent="0.25"/>
  <cols>
    <col min="1" max="1" width="7.7109375" customWidth="1"/>
    <col min="2" max="2" width="34.140625" customWidth="1"/>
    <col min="3" max="3" width="119.140625" bestFit="1" customWidth="1"/>
    <col min="4" max="4" width="11.28515625" customWidth="1"/>
    <col min="5" max="5" width="18.7109375" bestFit="1" customWidth="1"/>
    <col min="6" max="6" width="32.140625" customWidth="1"/>
    <col min="7" max="7" width="44.7109375" customWidth="1"/>
    <col min="8" max="8" width="77.85546875" style="97" customWidth="1"/>
    <col min="9" max="9" width="61.7109375" customWidth="1"/>
  </cols>
  <sheetData>
    <row r="1" spans="1:9" ht="20.25" x14ac:dyDescent="0.3">
      <c r="A1" s="165" t="s">
        <v>47</v>
      </c>
      <c r="B1" s="165"/>
      <c r="C1" s="165"/>
      <c r="D1" s="165"/>
      <c r="E1" s="165"/>
      <c r="F1" s="165"/>
      <c r="G1" s="165"/>
      <c r="H1" s="81"/>
      <c r="I1" s="81"/>
    </row>
    <row r="2" spans="1:9" ht="112.5" customHeight="1" x14ac:dyDescent="0.25">
      <c r="A2" s="166" t="s">
        <v>206</v>
      </c>
      <c r="B2" s="166"/>
      <c r="C2" s="166"/>
      <c r="D2" s="166"/>
      <c r="E2" s="166"/>
      <c r="F2" s="166"/>
      <c r="G2" s="166"/>
      <c r="H2" s="34" t="s">
        <v>48</v>
      </c>
      <c r="I2" s="34" t="s">
        <v>5</v>
      </c>
    </row>
    <row r="3" spans="1:9" ht="20.25" x14ac:dyDescent="0.3">
      <c r="A3" s="169" t="s">
        <v>207</v>
      </c>
      <c r="B3" s="169"/>
      <c r="C3" s="169"/>
      <c r="D3" s="170"/>
      <c r="E3" s="170"/>
      <c r="F3" s="170"/>
      <c r="G3" s="170"/>
      <c r="H3" s="84" t="s">
        <v>208</v>
      </c>
      <c r="I3" s="3"/>
    </row>
    <row r="4" spans="1:9" ht="41.25" customHeight="1" x14ac:dyDescent="0.25">
      <c r="A4" s="167" t="s">
        <v>521</v>
      </c>
      <c r="B4" s="167"/>
      <c r="C4" s="167"/>
      <c r="D4" s="167"/>
      <c r="E4" s="167"/>
      <c r="F4" s="167"/>
      <c r="G4" s="167"/>
      <c r="H4" s="93"/>
      <c r="I4" s="37"/>
    </row>
    <row r="5" spans="1:9" ht="19.5" x14ac:dyDescent="0.25">
      <c r="A5" s="168" t="s">
        <v>41</v>
      </c>
      <c r="B5" s="168"/>
      <c r="C5" s="168"/>
      <c r="D5" s="168"/>
      <c r="E5" s="168"/>
      <c r="F5" s="168"/>
      <c r="G5" s="168"/>
      <c r="H5" s="93"/>
      <c r="I5" s="37"/>
    </row>
    <row r="6" spans="1:9" ht="18.75" customHeight="1" x14ac:dyDescent="0.25">
      <c r="A6" s="161" t="s">
        <v>46</v>
      </c>
      <c r="B6" s="161"/>
      <c r="C6" s="163" t="s">
        <v>94</v>
      </c>
      <c r="D6" s="163"/>
      <c r="E6" s="163"/>
      <c r="F6" s="163"/>
      <c r="G6" s="163"/>
      <c r="H6" s="93"/>
      <c r="I6" s="37"/>
    </row>
    <row r="7" spans="1:9" ht="18.75" customHeight="1" x14ac:dyDescent="0.25">
      <c r="A7" s="161" t="s">
        <v>95</v>
      </c>
      <c r="B7" s="161"/>
      <c r="C7" s="163" t="s">
        <v>96</v>
      </c>
      <c r="D7" s="163"/>
      <c r="E7" s="163"/>
      <c r="F7" s="163"/>
      <c r="G7" s="163"/>
      <c r="H7" s="93"/>
      <c r="I7" s="37"/>
    </row>
    <row r="8" spans="1:9" ht="18.75" customHeight="1" x14ac:dyDescent="0.25">
      <c r="A8" s="161" t="s">
        <v>45</v>
      </c>
      <c r="B8" s="161"/>
      <c r="C8" s="164"/>
      <c r="D8" s="164"/>
      <c r="E8" s="164"/>
      <c r="F8" s="164"/>
      <c r="G8" s="164"/>
      <c r="H8" s="93"/>
      <c r="I8" s="37"/>
    </row>
    <row r="9" spans="1:9" ht="18.75" customHeight="1" x14ac:dyDescent="0.25">
      <c r="A9" s="161" t="s">
        <v>38</v>
      </c>
      <c r="B9" s="161"/>
      <c r="C9" s="163" t="s">
        <v>66</v>
      </c>
      <c r="D9" s="163"/>
      <c r="E9" s="163"/>
      <c r="F9" s="163"/>
      <c r="G9" s="163"/>
      <c r="H9" s="93"/>
      <c r="I9" s="37"/>
    </row>
    <row r="10" spans="1:9" ht="18.75" customHeight="1" x14ac:dyDescent="0.25">
      <c r="A10" s="161" t="s">
        <v>39</v>
      </c>
      <c r="B10" s="161"/>
      <c r="C10" s="163" t="s">
        <v>67</v>
      </c>
      <c r="D10" s="163"/>
      <c r="E10" s="163"/>
      <c r="F10" s="163"/>
      <c r="G10" s="163"/>
      <c r="H10" s="93"/>
      <c r="I10" s="37"/>
    </row>
    <row r="11" spans="1:9" ht="18.75" customHeight="1" x14ac:dyDescent="0.25">
      <c r="A11" s="161" t="s">
        <v>44</v>
      </c>
      <c r="B11" s="161"/>
      <c r="C11" s="162" t="s">
        <v>520</v>
      </c>
      <c r="D11" s="162"/>
      <c r="E11" s="162"/>
      <c r="F11" s="162"/>
      <c r="G11" s="162"/>
      <c r="H11" s="93"/>
      <c r="I11" s="37"/>
    </row>
    <row r="12" spans="1:9" ht="18.75" x14ac:dyDescent="0.25">
      <c r="A12" s="161" t="s">
        <v>51</v>
      </c>
      <c r="B12" s="161"/>
      <c r="C12" s="162" t="s">
        <v>522</v>
      </c>
      <c r="D12" s="162"/>
      <c r="E12" s="162"/>
      <c r="F12" s="162"/>
      <c r="G12" s="162"/>
      <c r="H12" s="93"/>
      <c r="I12" s="37"/>
    </row>
    <row r="13" spans="1:9" ht="18.75" x14ac:dyDescent="0.25">
      <c r="A13" s="161" t="s">
        <v>40</v>
      </c>
      <c r="B13" s="161"/>
      <c r="C13" s="162" t="s">
        <v>523</v>
      </c>
      <c r="D13" s="162"/>
      <c r="E13" s="162"/>
      <c r="F13" s="162"/>
      <c r="G13" s="162"/>
      <c r="H13" s="93"/>
      <c r="I13" s="37"/>
    </row>
    <row r="14" spans="1:9" ht="15.75" x14ac:dyDescent="0.25">
      <c r="A14" s="138"/>
      <c r="B14" s="138"/>
      <c r="C14" s="138"/>
      <c r="D14" s="138"/>
      <c r="E14" s="138"/>
      <c r="F14" s="138"/>
      <c r="G14" s="138"/>
      <c r="H14" s="93"/>
      <c r="I14" s="37"/>
    </row>
    <row r="15" spans="1:9" ht="39" customHeight="1" x14ac:dyDescent="0.25">
      <c r="A15" s="34" t="s">
        <v>0</v>
      </c>
      <c r="B15" s="34" t="s">
        <v>2</v>
      </c>
      <c r="C15" s="34" t="s">
        <v>1</v>
      </c>
      <c r="D15" s="34" t="s">
        <v>3</v>
      </c>
      <c r="E15" s="34" t="s">
        <v>4</v>
      </c>
      <c r="F15" s="35" t="s">
        <v>42</v>
      </c>
      <c r="G15" s="35" t="s">
        <v>43</v>
      </c>
      <c r="H15" s="93"/>
      <c r="I15" s="37"/>
    </row>
    <row r="16" spans="1:9" ht="15.75" x14ac:dyDescent="0.25">
      <c r="A16" s="41" t="s">
        <v>524</v>
      </c>
      <c r="B16" s="42"/>
      <c r="C16" s="42"/>
      <c r="D16" s="42"/>
      <c r="E16" s="42"/>
      <c r="F16" s="42"/>
      <c r="G16" s="42"/>
      <c r="H16" s="93"/>
      <c r="I16" s="37"/>
    </row>
    <row r="17" spans="1:10" ht="126" x14ac:dyDescent="0.25">
      <c r="A17" s="36">
        <v>1</v>
      </c>
      <c r="B17" s="37" t="s">
        <v>259</v>
      </c>
      <c r="C17" s="38" t="s">
        <v>529</v>
      </c>
      <c r="D17" s="36" t="s">
        <v>225</v>
      </c>
      <c r="E17" s="40">
        <f>SUMIF('ЛСР №1'!$B$17:$B$371,B17,'ЛСР №1'!$F$17:$F$371)</f>
        <v>3700.78</v>
      </c>
      <c r="F17" s="39"/>
      <c r="G17" s="40">
        <f>F17*E17</f>
        <v>0</v>
      </c>
      <c r="H17" s="93"/>
      <c r="I17" s="37"/>
      <c r="J17" s="1"/>
    </row>
    <row r="18" spans="1:10" ht="126" x14ac:dyDescent="0.25">
      <c r="A18" s="2">
        <v>2</v>
      </c>
      <c r="B18" s="3" t="s">
        <v>280</v>
      </c>
      <c r="C18" s="4" t="s">
        <v>531</v>
      </c>
      <c r="D18" s="2" t="s">
        <v>225</v>
      </c>
      <c r="E18" s="5">
        <f>SUMIF('ЛСР №1'!$B$17:$B$371,B18,'ЛСР №1'!$F$17:$F$371)</f>
        <v>19887.689999999999</v>
      </c>
      <c r="F18" s="14"/>
      <c r="G18" s="5">
        <f>F18*E18</f>
        <v>0</v>
      </c>
      <c r="H18" s="84"/>
      <c r="I18" s="3"/>
      <c r="J18" s="1"/>
    </row>
    <row r="19" spans="1:10" ht="157.5" x14ac:dyDescent="0.25">
      <c r="A19" s="36">
        <v>3</v>
      </c>
      <c r="B19" s="3" t="s">
        <v>264</v>
      </c>
      <c r="C19" s="4" t="s">
        <v>530</v>
      </c>
      <c r="D19" s="2" t="s">
        <v>225</v>
      </c>
      <c r="E19" s="5">
        <f>SUMIF('ЛСР №1'!$B$17:$B$371,B19,'ЛСР №1'!$F$17:$F$371)</f>
        <v>27254.75</v>
      </c>
      <c r="F19" s="39"/>
      <c r="G19" s="5">
        <f>F19*E19</f>
        <v>0</v>
      </c>
      <c r="H19" s="84"/>
      <c r="I19" s="3"/>
      <c r="J19" s="1"/>
    </row>
    <row r="20" spans="1:10" ht="126" x14ac:dyDescent="0.25">
      <c r="A20" s="2">
        <v>4</v>
      </c>
      <c r="B20" s="3" t="s">
        <v>224</v>
      </c>
      <c r="C20" s="4" t="s">
        <v>525</v>
      </c>
      <c r="D20" s="2" t="s">
        <v>225</v>
      </c>
      <c r="E20" s="5">
        <f>SUMIF('ЛСР №1'!$B$17:$B$371,B20,'ЛСР №1'!$F$17:$F$371)</f>
        <v>4294.83</v>
      </c>
      <c r="F20" s="14"/>
      <c r="G20" s="5">
        <f t="shared" ref="G20:G23" si="0">F20*E20</f>
        <v>0</v>
      </c>
      <c r="H20" s="84"/>
      <c r="I20" s="3"/>
      <c r="J20" s="1"/>
    </row>
    <row r="21" spans="1:10" ht="78.75" x14ac:dyDescent="0.25">
      <c r="A21" s="36">
        <v>5</v>
      </c>
      <c r="B21" s="3" t="s">
        <v>255</v>
      </c>
      <c r="C21" s="4" t="s">
        <v>528</v>
      </c>
      <c r="D21" s="2" t="s">
        <v>225</v>
      </c>
      <c r="E21" s="5">
        <f>SUMIF('ЛСР №1'!$B$17:$B$371,B21,'ЛСР №1'!$F$17:$F$371)</f>
        <v>39.42</v>
      </c>
      <c r="F21" s="39"/>
      <c r="G21" s="5">
        <f t="shared" si="0"/>
        <v>0</v>
      </c>
      <c r="H21" s="84"/>
      <c r="I21" s="3"/>
      <c r="J21" s="1"/>
    </row>
    <row r="22" spans="1:10" ht="141.75" x14ac:dyDescent="0.25">
      <c r="A22" s="2">
        <v>6</v>
      </c>
      <c r="B22" s="3" t="s">
        <v>251</v>
      </c>
      <c r="C22" s="4" t="s">
        <v>527</v>
      </c>
      <c r="D22" s="2" t="s">
        <v>6</v>
      </c>
      <c r="E22" s="5">
        <f>SUMIF('ЛСР №1'!$B$17:$B$371,B22,'ЛСР №1'!$F$17:$F$371)</f>
        <v>4067.57</v>
      </c>
      <c r="F22" s="14"/>
      <c r="G22" s="5">
        <f t="shared" si="0"/>
        <v>0</v>
      </c>
      <c r="H22" s="84"/>
      <c r="I22" s="3"/>
      <c r="J22" s="1"/>
    </row>
    <row r="23" spans="1:10" ht="141.75" x14ac:dyDescent="0.25">
      <c r="A23" s="36">
        <v>7</v>
      </c>
      <c r="B23" s="3" t="s">
        <v>236</v>
      </c>
      <c r="C23" s="4" t="s">
        <v>526</v>
      </c>
      <c r="D23" s="2" t="s">
        <v>225</v>
      </c>
      <c r="E23" s="5">
        <f>SUMIF('ЛСР №1'!$B$17:$B$371,B23,'ЛСР №1'!$F$17:$F$371)</f>
        <v>858.34</v>
      </c>
      <c r="F23" s="39"/>
      <c r="G23" s="5">
        <f t="shared" si="0"/>
        <v>0</v>
      </c>
      <c r="H23" s="84"/>
      <c r="I23" s="3"/>
      <c r="J23" s="1"/>
    </row>
    <row r="24" spans="1:10" ht="15.75" x14ac:dyDescent="0.25">
      <c r="A24" s="41" t="s">
        <v>10</v>
      </c>
      <c r="B24" s="42"/>
      <c r="C24" s="42"/>
      <c r="D24" s="42"/>
      <c r="E24" s="42"/>
      <c r="F24" s="42"/>
      <c r="G24" s="42"/>
      <c r="H24" s="94"/>
      <c r="I24" s="43"/>
    </row>
    <row r="25" spans="1:10" ht="15.75" x14ac:dyDescent="0.25">
      <c r="A25" s="2">
        <v>1</v>
      </c>
      <c r="B25" s="3" t="s">
        <v>234</v>
      </c>
      <c r="C25" s="4" t="s">
        <v>235</v>
      </c>
      <c r="D25" s="2" t="s">
        <v>225</v>
      </c>
      <c r="E25" s="5">
        <f>SUMIF('ЛСР №1'!$B$17:$B$371,B25,'ЛСР №1'!$F$17:$F$371)</f>
        <v>389.56</v>
      </c>
      <c r="F25" s="129" t="s">
        <v>204</v>
      </c>
      <c r="G25" s="130"/>
      <c r="H25" s="95"/>
      <c r="I25" s="30"/>
      <c r="J25" s="1"/>
    </row>
    <row r="26" spans="1:10" ht="15.75" x14ac:dyDescent="0.25">
      <c r="A26" s="2">
        <v>2</v>
      </c>
      <c r="B26" s="3" t="s">
        <v>274</v>
      </c>
      <c r="C26" s="4" t="s">
        <v>275</v>
      </c>
      <c r="D26" s="2" t="s">
        <v>225</v>
      </c>
      <c r="E26" s="5">
        <f>SUMIF('ЛСР №1'!$B$17:$B$371,B26,'ЛСР №1'!$F$17:$F$371)</f>
        <v>31.17</v>
      </c>
      <c r="F26" s="129" t="s">
        <v>204</v>
      </c>
      <c r="G26" s="130"/>
      <c r="H26" s="95"/>
      <c r="I26" s="30"/>
      <c r="J26" s="1"/>
    </row>
    <row r="27" spans="1:10" ht="15.75" x14ac:dyDescent="0.25">
      <c r="A27" s="2">
        <v>3</v>
      </c>
      <c r="B27" s="3" t="s">
        <v>281</v>
      </c>
      <c r="C27" s="4" t="s">
        <v>282</v>
      </c>
      <c r="D27" s="2" t="s">
        <v>225</v>
      </c>
      <c r="E27" s="5">
        <f>SUMIF('ЛСР №1'!$B$17:$B$371,B27,'ЛСР №1'!$F$17:$F$371)</f>
        <v>22870.880000000001</v>
      </c>
      <c r="F27" s="129" t="s">
        <v>204</v>
      </c>
      <c r="G27" s="130"/>
      <c r="H27" s="95"/>
      <c r="I27" s="30"/>
      <c r="J27" s="1"/>
    </row>
    <row r="28" spans="1:10" ht="15.75" x14ac:dyDescent="0.25">
      <c r="A28" s="2">
        <v>4</v>
      </c>
      <c r="B28" s="3" t="s">
        <v>272</v>
      </c>
      <c r="C28" s="4" t="s">
        <v>273</v>
      </c>
      <c r="D28" s="2" t="s">
        <v>225</v>
      </c>
      <c r="E28" s="5">
        <f>SUMIF('ЛСР №1'!$B$17:$B$371,B28,'ЛСР №1'!$F$17:$F$371)</f>
        <v>22937.03</v>
      </c>
      <c r="F28" s="14"/>
      <c r="G28" s="5">
        <f>F28*E28</f>
        <v>0</v>
      </c>
      <c r="H28" s="95"/>
      <c r="I28" s="30"/>
      <c r="J28" s="1"/>
    </row>
    <row r="29" spans="1:10" ht="15.75" x14ac:dyDescent="0.25">
      <c r="A29" s="2">
        <v>5</v>
      </c>
      <c r="B29" s="3" t="s">
        <v>253</v>
      </c>
      <c r="C29" s="4" t="s">
        <v>254</v>
      </c>
      <c r="D29" s="2" t="s">
        <v>225</v>
      </c>
      <c r="E29" s="5">
        <f>SUMIF('ЛСР №1'!$B$17:$B$371,B29,'ЛСР №1'!$F$17:$F$371)</f>
        <v>447.3</v>
      </c>
      <c r="F29" s="129" t="s">
        <v>204</v>
      </c>
      <c r="G29" s="130"/>
      <c r="H29" s="95"/>
      <c r="I29" s="30"/>
      <c r="J29" s="1"/>
    </row>
    <row r="30" spans="1:10" ht="15.75" x14ac:dyDescent="0.25">
      <c r="A30" s="2">
        <v>6</v>
      </c>
      <c r="B30" s="3" t="s">
        <v>276</v>
      </c>
      <c r="C30" s="4" t="s">
        <v>277</v>
      </c>
      <c r="D30" s="2" t="s">
        <v>225</v>
      </c>
      <c r="E30" s="5">
        <f>SUMIF('ЛСР №1'!$B$17:$B$371,B30,'ЛСР №1'!$F$17:$F$371)</f>
        <v>4088.93</v>
      </c>
      <c r="F30" s="129" t="s">
        <v>204</v>
      </c>
      <c r="G30" s="130"/>
      <c r="H30" s="95"/>
      <c r="I30" s="30"/>
      <c r="J30" s="1"/>
    </row>
    <row r="31" spans="1:10" ht="15.75" x14ac:dyDescent="0.25">
      <c r="A31" s="2">
        <v>7</v>
      </c>
      <c r="B31" s="3" t="s">
        <v>262</v>
      </c>
      <c r="C31" s="4" t="s">
        <v>263</v>
      </c>
      <c r="D31" s="2" t="s">
        <v>225</v>
      </c>
      <c r="E31" s="5">
        <f>SUMIF('ЛСР №1'!$B$17:$B$371,B31,'ЛСР №1'!$F$17:$F$371)</f>
        <v>1488.97</v>
      </c>
      <c r="F31" s="129" t="s">
        <v>204</v>
      </c>
      <c r="G31" s="130"/>
      <c r="H31" s="95"/>
      <c r="I31" s="30"/>
      <c r="J31" s="1"/>
    </row>
    <row r="32" spans="1:10" ht="15.75" x14ac:dyDescent="0.25">
      <c r="A32" s="2">
        <v>8</v>
      </c>
      <c r="B32" s="3" t="s">
        <v>256</v>
      </c>
      <c r="C32" s="4" t="s">
        <v>257</v>
      </c>
      <c r="D32" s="2" t="s">
        <v>225</v>
      </c>
      <c r="E32" s="5">
        <f>SUMIF('ЛСР №1'!$B$17:$B$371,B32,'ЛСР №1'!$F$17:$F$371)</f>
        <v>39.42</v>
      </c>
      <c r="F32" s="129" t="s">
        <v>204</v>
      </c>
      <c r="G32" s="130"/>
      <c r="H32" s="95"/>
      <c r="I32" s="30"/>
      <c r="J32" s="1"/>
    </row>
    <row r="33" spans="1:10" ht="15.75" x14ac:dyDescent="0.25">
      <c r="A33" s="2">
        <v>9</v>
      </c>
      <c r="B33" s="3" t="s">
        <v>260</v>
      </c>
      <c r="C33" s="4" t="s">
        <v>261</v>
      </c>
      <c r="D33" s="2" t="s">
        <v>231</v>
      </c>
      <c r="E33" s="5">
        <f>SUMIF('ЛСР №1'!$B$17:$B$371,B33,'ЛСР №1'!$F$17:$F$371)</f>
        <v>18503.900000000001</v>
      </c>
      <c r="F33" s="129" t="s">
        <v>204</v>
      </c>
      <c r="G33" s="130"/>
      <c r="H33" s="95"/>
      <c r="I33" s="30"/>
      <c r="J33" s="1"/>
    </row>
    <row r="34" spans="1:10" ht="15.75" x14ac:dyDescent="0.25">
      <c r="A34" s="2">
        <v>10</v>
      </c>
      <c r="B34" s="3" t="s">
        <v>252</v>
      </c>
      <c r="C34" s="4" t="s">
        <v>227</v>
      </c>
      <c r="D34" s="2" t="s">
        <v>231</v>
      </c>
      <c r="E34" s="5">
        <f>SUMIF('ЛСР №1'!$B$17:$B$371,B34,'ЛСР №1'!$F$17:$F$371)</f>
        <v>61.16</v>
      </c>
      <c r="F34" s="129" t="s">
        <v>204</v>
      </c>
      <c r="G34" s="130"/>
      <c r="H34" s="95"/>
      <c r="I34" s="30"/>
      <c r="J34" s="1"/>
    </row>
    <row r="35" spans="1:10" ht="15.75" x14ac:dyDescent="0.25">
      <c r="A35" s="2">
        <v>11</v>
      </c>
      <c r="B35" s="3" t="s">
        <v>232</v>
      </c>
      <c r="C35" s="4" t="s">
        <v>233</v>
      </c>
      <c r="D35" s="2" t="s">
        <v>231</v>
      </c>
      <c r="E35" s="5">
        <f>SUMIF('ЛСР №1'!$B$17:$B$371,B35,'ЛСР №1'!$F$17:$F$371)</f>
        <v>940.26</v>
      </c>
      <c r="F35" s="129" t="s">
        <v>204</v>
      </c>
      <c r="G35" s="130"/>
      <c r="H35" s="95"/>
      <c r="I35" s="30"/>
      <c r="J35" s="1"/>
    </row>
    <row r="36" spans="1:10" ht="15.75" x14ac:dyDescent="0.25">
      <c r="A36" s="2">
        <v>12</v>
      </c>
      <c r="B36" s="3" t="s">
        <v>229</v>
      </c>
      <c r="C36" s="4" t="s">
        <v>230</v>
      </c>
      <c r="D36" s="2" t="s">
        <v>231</v>
      </c>
      <c r="E36" s="5">
        <f>SUMIF('ЛСР №1'!$B$17:$B$371,B36,'ЛСР №1'!$F$17:$F$371)</f>
        <v>37612.629999999997</v>
      </c>
      <c r="F36" s="129" t="s">
        <v>204</v>
      </c>
      <c r="G36" s="130"/>
      <c r="H36" s="95"/>
      <c r="I36" s="30"/>
      <c r="J36" s="1"/>
    </row>
    <row r="37" spans="1:10" ht="15.75" x14ac:dyDescent="0.25">
      <c r="A37" s="2">
        <v>13</v>
      </c>
      <c r="B37" s="3" t="s">
        <v>245</v>
      </c>
      <c r="C37" s="4" t="s">
        <v>246</v>
      </c>
      <c r="D37" s="2" t="s">
        <v>231</v>
      </c>
      <c r="E37" s="5">
        <f>SUMIF('ЛСР №1'!$B$17:$B$371,B37,'ЛСР №1'!$F$17:$F$371)</f>
        <v>270.36</v>
      </c>
      <c r="F37" s="14"/>
      <c r="G37" s="5">
        <f>F37*E37</f>
        <v>0</v>
      </c>
      <c r="H37" s="95"/>
      <c r="I37" s="30"/>
      <c r="J37" s="1"/>
    </row>
    <row r="38" spans="1:10" ht="15.75" x14ac:dyDescent="0.25">
      <c r="A38" s="2">
        <v>14</v>
      </c>
      <c r="B38" s="3" t="s">
        <v>243</v>
      </c>
      <c r="C38" s="4" t="s">
        <v>244</v>
      </c>
      <c r="D38" s="2" t="s">
        <v>231</v>
      </c>
      <c r="E38" s="5">
        <f>SUMIF('ЛСР №1'!$B$17:$B$371,B38,'ЛСР №1'!$F$17:$F$371)</f>
        <v>506.42</v>
      </c>
      <c r="F38" s="14"/>
      <c r="G38" s="5">
        <f>F38*E38</f>
        <v>0</v>
      </c>
      <c r="H38" s="95"/>
      <c r="I38" s="30"/>
      <c r="J38" s="1"/>
    </row>
    <row r="39" spans="1:10" ht="15.75" x14ac:dyDescent="0.25">
      <c r="A39" s="2">
        <v>15</v>
      </c>
      <c r="B39" s="3" t="s">
        <v>249</v>
      </c>
      <c r="C39" s="4" t="s">
        <v>250</v>
      </c>
      <c r="D39" s="2" t="s">
        <v>231</v>
      </c>
      <c r="E39" s="5">
        <f>SUMIF('ЛСР №1'!$B$17:$B$371,B39,'ЛСР №1'!$F$17:$F$371)</f>
        <v>17.170000000000002</v>
      </c>
      <c r="F39" s="129" t="s">
        <v>204</v>
      </c>
      <c r="G39" s="130"/>
      <c r="H39" s="95"/>
      <c r="I39" s="30"/>
      <c r="J39" s="1"/>
    </row>
    <row r="40" spans="1:10" ht="15.75" x14ac:dyDescent="0.25">
      <c r="A40" s="2">
        <v>16</v>
      </c>
      <c r="B40" s="3" t="s">
        <v>268</v>
      </c>
      <c r="C40" s="4" t="s">
        <v>269</v>
      </c>
      <c r="D40" s="2" t="s">
        <v>231</v>
      </c>
      <c r="E40" s="5">
        <f>SUMIF('ЛСР №1'!$B$17:$B$371,B40,'ЛСР №1'!$F$17:$F$371)</f>
        <v>2001.59</v>
      </c>
      <c r="F40" s="14"/>
      <c r="G40" s="5">
        <f>F40*E40</f>
        <v>0</v>
      </c>
      <c r="H40" s="95"/>
      <c r="I40" s="30"/>
      <c r="J40" s="1"/>
    </row>
    <row r="41" spans="1:10" ht="15.75" x14ac:dyDescent="0.25">
      <c r="A41" s="2">
        <v>17</v>
      </c>
      <c r="B41" s="3" t="s">
        <v>247</v>
      </c>
      <c r="C41" s="4" t="s">
        <v>248</v>
      </c>
      <c r="D41" s="2" t="s">
        <v>231</v>
      </c>
      <c r="E41" s="5">
        <f>SUMIF('ЛСР №1'!$B$17:$B$371,B41,'ЛСР №1'!$F$17:$F$371)</f>
        <v>10.3</v>
      </c>
      <c r="F41" s="14"/>
      <c r="G41" s="5">
        <f>F41*E41</f>
        <v>0</v>
      </c>
      <c r="H41" s="95"/>
      <c r="I41" s="30"/>
      <c r="J41" s="1"/>
    </row>
    <row r="42" spans="1:10" ht="15.75" x14ac:dyDescent="0.25">
      <c r="A42" s="2">
        <v>18</v>
      </c>
      <c r="B42" s="3" t="s">
        <v>241</v>
      </c>
      <c r="C42" s="4" t="s">
        <v>242</v>
      </c>
      <c r="D42" s="2" t="s">
        <v>231</v>
      </c>
      <c r="E42" s="5">
        <f>SUMIF('ЛСР №1'!$B$17:$B$371,B42,'ЛСР №1'!$F$17:$F$371)</f>
        <v>326.17</v>
      </c>
      <c r="F42" s="129" t="s">
        <v>204</v>
      </c>
      <c r="G42" s="130"/>
      <c r="H42" s="95"/>
      <c r="I42" s="30"/>
      <c r="J42" s="1"/>
    </row>
    <row r="43" spans="1:10" ht="15.75" x14ac:dyDescent="0.25">
      <c r="A43" s="2">
        <v>19</v>
      </c>
      <c r="B43" s="3" t="s">
        <v>239</v>
      </c>
      <c r="C43" s="4" t="s">
        <v>240</v>
      </c>
      <c r="D43" s="2" t="s">
        <v>231</v>
      </c>
      <c r="E43" s="5">
        <f>SUMIF('ЛСР №1'!$B$17:$B$371,B43,'ЛСР №1'!$F$17:$F$371)</f>
        <v>609.42999999999995</v>
      </c>
      <c r="F43" s="14"/>
      <c r="G43" s="5">
        <f>F43*E43</f>
        <v>0</v>
      </c>
      <c r="H43" s="95"/>
      <c r="I43" s="30"/>
      <c r="J43" s="1"/>
    </row>
    <row r="44" spans="1:10" ht="15.75" x14ac:dyDescent="0.25">
      <c r="A44" s="2">
        <v>20</v>
      </c>
      <c r="B44" s="3" t="s">
        <v>237</v>
      </c>
      <c r="C44" s="4" t="s">
        <v>238</v>
      </c>
      <c r="D44" s="2" t="s">
        <v>231</v>
      </c>
      <c r="E44" s="5">
        <f>SUMIF('ЛСР №1'!$B$17:$B$371,B44,'ЛСР №1'!$F$17:$F$371)</f>
        <v>51.51</v>
      </c>
      <c r="F44" s="14"/>
      <c r="G44" s="5">
        <f>F44*E44</f>
        <v>0</v>
      </c>
      <c r="H44" s="95"/>
      <c r="I44" s="30"/>
      <c r="J44" s="1"/>
    </row>
    <row r="45" spans="1:10" ht="15.75" x14ac:dyDescent="0.25">
      <c r="A45" s="2">
        <v>21</v>
      </c>
      <c r="B45" s="3" t="s">
        <v>226</v>
      </c>
      <c r="C45" s="4" t="s">
        <v>227</v>
      </c>
      <c r="D45" s="2" t="s">
        <v>228</v>
      </c>
      <c r="E45" s="5">
        <f>SUMIF('ЛСР №1'!$B$17:$B$371,B45,'ЛСР №1'!$F$17:$F$371)</f>
        <v>644.35</v>
      </c>
      <c r="F45" s="129" t="s">
        <v>204</v>
      </c>
      <c r="G45" s="130"/>
      <c r="H45" s="95"/>
      <c r="I45" s="30"/>
      <c r="J45" s="1"/>
    </row>
    <row r="46" spans="1:10" ht="31.5" x14ac:dyDescent="0.25">
      <c r="A46" s="2">
        <v>22</v>
      </c>
      <c r="B46" s="3" t="s">
        <v>270</v>
      </c>
      <c r="C46" s="4" t="s">
        <v>271</v>
      </c>
      <c r="D46" s="2" t="s">
        <v>6</v>
      </c>
      <c r="E46" s="5">
        <f>SUMIF('ЛСР №1'!$B$17:$B$371,B46,'ЛСР №1'!$F$17:$F$371)</f>
        <v>28661.37</v>
      </c>
      <c r="F46" s="14"/>
      <c r="G46" s="5">
        <f>F46*E46</f>
        <v>0</v>
      </c>
      <c r="H46" s="95"/>
      <c r="I46" s="30"/>
      <c r="J46" s="1"/>
    </row>
    <row r="47" spans="1:10" ht="15.75" x14ac:dyDescent="0.25">
      <c r="A47" s="2">
        <v>23</v>
      </c>
      <c r="B47" s="3" t="s">
        <v>265</v>
      </c>
      <c r="C47" s="4" t="s">
        <v>266</v>
      </c>
      <c r="D47" s="2" t="s">
        <v>267</v>
      </c>
      <c r="E47" s="104">
        <f>SUMIF('ЛСР №1'!$B$17:$B$371,B47,'ЛСР №1'!$F$17:$F$371)</f>
        <v>1667.989</v>
      </c>
      <c r="F47" s="14"/>
      <c r="G47" s="5">
        <f>F47*E47</f>
        <v>0</v>
      </c>
      <c r="H47" s="95"/>
      <c r="I47" s="30"/>
      <c r="J47" s="1"/>
    </row>
    <row r="48" spans="1:10" ht="15.75" x14ac:dyDescent="0.25">
      <c r="A48" s="174" t="s">
        <v>8</v>
      </c>
      <c r="B48" s="174"/>
      <c r="C48" s="174"/>
      <c r="D48" s="174"/>
      <c r="E48" s="174"/>
      <c r="F48" s="174"/>
      <c r="G48" s="5">
        <f>SUM(G17:G23)</f>
        <v>0</v>
      </c>
      <c r="H48" s="95"/>
      <c r="I48" s="30"/>
    </row>
    <row r="49" spans="1:9" ht="15.75" x14ac:dyDescent="0.25">
      <c r="A49" s="174" t="s">
        <v>7</v>
      </c>
      <c r="B49" s="174"/>
      <c r="C49" s="174"/>
      <c r="D49" s="174"/>
      <c r="E49" s="174"/>
      <c r="F49" s="174"/>
      <c r="G49" s="5">
        <f>SUM(G25:G47)</f>
        <v>0</v>
      </c>
      <c r="H49" s="95"/>
      <c r="I49" s="30"/>
    </row>
    <row r="50" spans="1:9" ht="15.75" x14ac:dyDescent="0.25">
      <c r="A50" s="174" t="s">
        <v>37</v>
      </c>
      <c r="B50" s="174"/>
      <c r="C50" s="174"/>
      <c r="D50" s="174"/>
      <c r="E50" s="174"/>
      <c r="F50" s="174"/>
      <c r="G50" s="5">
        <f>IF(E57&lt;20%,SUM(G49)*0.2,0)</f>
        <v>0</v>
      </c>
      <c r="H50" s="95" t="s">
        <v>99</v>
      </c>
      <c r="I50" s="30"/>
    </row>
    <row r="51" spans="1:9" ht="15.75" x14ac:dyDescent="0.25">
      <c r="A51" s="177" t="str">
        <f>IF(E57=0,"Без НДС в связи с применением УСН","НДС " &amp; TEXT(E57,"0%"))</f>
        <v>Без НДС в связи с применением УСН</v>
      </c>
      <c r="B51" s="177"/>
      <c r="C51" s="177"/>
      <c r="D51" s="177"/>
      <c r="E51" s="177"/>
      <c r="F51" s="177"/>
      <c r="G51" s="5">
        <f>SUM(G48:G50)*E57</f>
        <v>0</v>
      </c>
      <c r="H51" s="95" t="s">
        <v>100</v>
      </c>
      <c r="I51" s="30"/>
    </row>
    <row r="52" spans="1:9" ht="18.75" x14ac:dyDescent="0.25">
      <c r="A52" s="175" t="s">
        <v>205</v>
      </c>
      <c r="B52" s="175"/>
      <c r="C52" s="175"/>
      <c r="D52" s="175"/>
      <c r="E52" s="175"/>
      <c r="F52" s="175"/>
      <c r="G52" s="10">
        <f>SUM(G48:G51)</f>
        <v>0</v>
      </c>
      <c r="H52" s="96"/>
      <c r="I52" s="6"/>
    </row>
    <row r="53" spans="1:9" ht="15.75" x14ac:dyDescent="0.25">
      <c r="A53" s="8"/>
      <c r="B53" s="8"/>
      <c r="C53" s="8"/>
      <c r="D53" s="8"/>
      <c r="E53" s="8"/>
      <c r="F53" s="8"/>
      <c r="G53" s="9"/>
      <c r="H53" s="96"/>
      <c r="I53" s="6"/>
    </row>
    <row r="54" spans="1:9" x14ac:dyDescent="0.25">
      <c r="F54" s="83"/>
      <c r="G54" s="83"/>
    </row>
    <row r="55" spans="1:9" x14ac:dyDescent="0.25">
      <c r="F55" s="83"/>
    </row>
    <row r="56" spans="1:9" ht="18.75" x14ac:dyDescent="0.25">
      <c r="A56" s="176" t="s">
        <v>9</v>
      </c>
      <c r="B56" s="176"/>
      <c r="C56" s="176"/>
      <c r="D56" s="176"/>
      <c r="E56" s="176"/>
      <c r="F56" s="176"/>
      <c r="G56" s="176"/>
      <c r="H56" s="85" t="s">
        <v>48</v>
      </c>
      <c r="I56" s="7" t="s">
        <v>5</v>
      </c>
    </row>
    <row r="57" spans="1:9" ht="35.1" customHeight="1" x14ac:dyDescent="0.25">
      <c r="A57" s="16">
        <v>1</v>
      </c>
      <c r="B57" s="171" t="s">
        <v>91</v>
      </c>
      <c r="C57" s="172"/>
      <c r="D57" s="173"/>
      <c r="E57" s="178">
        <v>0</v>
      </c>
      <c r="F57" s="179"/>
      <c r="G57" s="180"/>
      <c r="H57" s="98"/>
      <c r="I57" s="17"/>
    </row>
    <row r="58" spans="1:9" ht="35.25" customHeight="1" x14ac:dyDescent="0.25">
      <c r="A58" s="16">
        <v>2</v>
      </c>
      <c r="B58" s="140" t="s">
        <v>52</v>
      </c>
      <c r="C58" s="141"/>
      <c r="D58" s="142"/>
      <c r="E58" s="131"/>
      <c r="F58" s="132"/>
      <c r="G58" s="133"/>
      <c r="H58" s="99"/>
      <c r="I58" s="18"/>
    </row>
    <row r="59" spans="1:9" ht="35.25" customHeight="1" x14ac:dyDescent="0.25">
      <c r="A59" s="16">
        <v>3</v>
      </c>
      <c r="B59" s="171" t="s">
        <v>53</v>
      </c>
      <c r="C59" s="172"/>
      <c r="D59" s="173"/>
      <c r="E59" s="131"/>
      <c r="F59" s="132"/>
      <c r="G59" s="133"/>
      <c r="H59" s="82"/>
      <c r="I59" s="18"/>
    </row>
    <row r="60" spans="1:9" ht="69.75" customHeight="1" x14ac:dyDescent="0.25">
      <c r="A60" s="16">
        <v>4</v>
      </c>
      <c r="B60" s="134" t="s">
        <v>90</v>
      </c>
      <c r="C60" s="134"/>
      <c r="D60" s="134"/>
      <c r="E60" s="131"/>
      <c r="F60" s="132"/>
      <c r="G60" s="133"/>
      <c r="H60" s="82" t="s">
        <v>58</v>
      </c>
      <c r="I60" s="18"/>
    </row>
    <row r="61" spans="1:9" ht="80.099999999999994" customHeight="1" x14ac:dyDescent="0.25">
      <c r="A61" s="153">
        <v>5</v>
      </c>
      <c r="B61" s="143" t="s">
        <v>101</v>
      </c>
      <c r="C61" s="144"/>
      <c r="D61" s="144"/>
      <c r="E61" s="131"/>
      <c r="F61" s="132"/>
      <c r="G61" s="133"/>
      <c r="H61" s="145" t="s">
        <v>49</v>
      </c>
      <c r="I61" s="18"/>
    </row>
    <row r="62" spans="1:9" ht="80.099999999999994" customHeight="1" x14ac:dyDescent="0.25">
      <c r="A62" s="153"/>
      <c r="B62" s="144"/>
      <c r="C62" s="144"/>
      <c r="D62" s="144"/>
      <c r="E62" s="131"/>
      <c r="F62" s="132"/>
      <c r="G62" s="133"/>
      <c r="H62" s="146"/>
      <c r="I62" s="18"/>
    </row>
    <row r="63" spans="1:9" ht="80.099999999999994" customHeight="1" x14ac:dyDescent="0.25">
      <c r="A63" s="153"/>
      <c r="B63" s="144"/>
      <c r="C63" s="144"/>
      <c r="D63" s="144"/>
      <c r="E63" s="131"/>
      <c r="F63" s="132"/>
      <c r="G63" s="133"/>
      <c r="H63" s="146"/>
      <c r="I63" s="18"/>
    </row>
    <row r="64" spans="1:9" ht="80.099999999999994" customHeight="1" x14ac:dyDescent="0.25">
      <c r="A64" s="153"/>
      <c r="B64" s="144"/>
      <c r="C64" s="144"/>
      <c r="D64" s="144"/>
      <c r="E64" s="131"/>
      <c r="F64" s="132"/>
      <c r="G64" s="133"/>
      <c r="H64" s="146"/>
      <c r="I64" s="18"/>
    </row>
    <row r="65" spans="1:9" ht="80.099999999999994" customHeight="1" x14ac:dyDescent="0.25">
      <c r="A65" s="153"/>
      <c r="B65" s="144"/>
      <c r="C65" s="144"/>
      <c r="D65" s="144"/>
      <c r="E65" s="131"/>
      <c r="F65" s="132"/>
      <c r="G65" s="133"/>
      <c r="H65" s="147"/>
      <c r="I65" s="18"/>
    </row>
    <row r="66" spans="1:9" ht="39" customHeight="1" x14ac:dyDescent="0.25">
      <c r="A66" s="16">
        <v>6</v>
      </c>
      <c r="B66" s="159" t="s">
        <v>89</v>
      </c>
      <c r="C66" s="160"/>
      <c r="D66" s="160"/>
      <c r="E66" s="131"/>
      <c r="F66" s="132"/>
      <c r="G66" s="133"/>
      <c r="H66" s="100" t="s">
        <v>50</v>
      </c>
      <c r="I66" s="18"/>
    </row>
    <row r="67" spans="1:9" ht="79.5" customHeight="1" x14ac:dyDescent="0.25">
      <c r="A67" s="16">
        <v>7</v>
      </c>
      <c r="B67" s="154" t="s">
        <v>54</v>
      </c>
      <c r="C67" s="155"/>
      <c r="D67" s="155"/>
      <c r="E67" s="131"/>
      <c r="F67" s="132"/>
      <c r="G67" s="133"/>
      <c r="H67" s="99"/>
      <c r="I67" s="18"/>
    </row>
    <row r="68" spans="1:9" ht="35.1" customHeight="1" x14ac:dyDescent="0.25">
      <c r="A68" s="19">
        <v>8</v>
      </c>
      <c r="B68" s="156" t="s">
        <v>88</v>
      </c>
      <c r="C68" s="155"/>
      <c r="D68" s="155"/>
      <c r="E68" s="135" t="s">
        <v>87</v>
      </c>
      <c r="F68" s="157"/>
      <c r="G68" s="158"/>
      <c r="H68" s="99"/>
      <c r="I68" s="18"/>
    </row>
    <row r="69" spans="1:9" ht="35.1" customHeight="1" x14ac:dyDescent="0.25">
      <c r="A69" s="19">
        <v>9</v>
      </c>
      <c r="B69" s="134" t="s">
        <v>86</v>
      </c>
      <c r="C69" s="134"/>
      <c r="D69" s="134"/>
      <c r="E69" s="131"/>
      <c r="F69" s="132"/>
      <c r="G69" s="133"/>
      <c r="H69" s="101" t="s">
        <v>55</v>
      </c>
      <c r="I69" s="18"/>
    </row>
    <row r="70" spans="1:9" ht="35.1" customHeight="1" x14ac:dyDescent="0.25">
      <c r="A70" s="19">
        <v>10</v>
      </c>
      <c r="B70" s="139" t="s">
        <v>85</v>
      </c>
      <c r="C70" s="134"/>
      <c r="D70" s="134"/>
      <c r="E70" s="131"/>
      <c r="F70" s="132"/>
      <c r="G70" s="133"/>
      <c r="H70" s="99" t="s">
        <v>57</v>
      </c>
      <c r="I70" s="18"/>
    </row>
    <row r="71" spans="1:9" ht="35.1" customHeight="1" x14ac:dyDescent="0.25">
      <c r="A71" s="19">
        <v>11</v>
      </c>
      <c r="B71" s="139" t="s">
        <v>79</v>
      </c>
      <c r="C71" s="134"/>
      <c r="D71" s="134"/>
      <c r="E71" s="135" t="str">
        <f>C12</f>
        <v>DP-0624-089 - АР(1-7)</v>
      </c>
      <c r="F71" s="136"/>
      <c r="G71" s="137"/>
      <c r="H71" s="99"/>
      <c r="I71" s="18"/>
    </row>
    <row r="72" spans="1:9" ht="35.1" customHeight="1" x14ac:dyDescent="0.25">
      <c r="A72" s="19">
        <v>12</v>
      </c>
      <c r="B72" s="139" t="s">
        <v>64</v>
      </c>
      <c r="C72" s="134"/>
      <c r="D72" s="134"/>
      <c r="E72" s="135" t="s">
        <v>84</v>
      </c>
      <c r="F72" s="136"/>
      <c r="G72" s="137"/>
      <c r="H72" s="99"/>
      <c r="I72" s="18"/>
    </row>
    <row r="73" spans="1:9" ht="35.1" customHeight="1" x14ac:dyDescent="0.25">
      <c r="A73" s="19">
        <v>13</v>
      </c>
      <c r="B73" s="134" t="s">
        <v>80</v>
      </c>
      <c r="C73" s="134"/>
      <c r="D73" s="134"/>
      <c r="E73" s="131"/>
      <c r="F73" s="132"/>
      <c r="G73" s="133"/>
      <c r="H73" s="99" t="s">
        <v>50</v>
      </c>
      <c r="I73" s="18"/>
    </row>
    <row r="74" spans="1:9" ht="35.1" customHeight="1" x14ac:dyDescent="0.25">
      <c r="A74" s="19">
        <v>14</v>
      </c>
      <c r="B74" s="134" t="s">
        <v>81</v>
      </c>
      <c r="C74" s="134"/>
      <c r="D74" s="134"/>
      <c r="E74" s="131"/>
      <c r="F74" s="132"/>
      <c r="G74" s="133"/>
      <c r="H74" s="99" t="s">
        <v>56</v>
      </c>
      <c r="I74" s="18"/>
    </row>
    <row r="75" spans="1:9" ht="35.1" customHeight="1" x14ac:dyDescent="0.25">
      <c r="A75" s="19">
        <v>15</v>
      </c>
      <c r="B75" s="134" t="s">
        <v>82</v>
      </c>
      <c r="C75" s="134"/>
      <c r="D75" s="134"/>
      <c r="E75" s="131"/>
      <c r="F75" s="132"/>
      <c r="G75" s="133"/>
      <c r="H75" s="99"/>
      <c r="I75" s="18"/>
    </row>
    <row r="76" spans="1:9" ht="35.1" customHeight="1" x14ac:dyDescent="0.25">
      <c r="A76" s="19">
        <v>16</v>
      </c>
      <c r="B76" s="134" t="s">
        <v>83</v>
      </c>
      <c r="C76" s="134"/>
      <c r="D76" s="134"/>
      <c r="E76" s="131"/>
      <c r="F76" s="132"/>
      <c r="G76" s="133"/>
      <c r="H76" s="99"/>
      <c r="I76" s="18"/>
    </row>
    <row r="78" spans="1:9" x14ac:dyDescent="0.25">
      <c r="A78" s="20"/>
      <c r="B78" s="20"/>
      <c r="C78" s="20"/>
      <c r="D78" s="20"/>
      <c r="E78" s="20"/>
      <c r="F78" s="20"/>
      <c r="G78" s="20"/>
      <c r="H78" s="102"/>
      <c r="I78" s="20"/>
    </row>
    <row r="79" spans="1:9" x14ac:dyDescent="0.25">
      <c r="A79" s="20"/>
      <c r="B79" s="20"/>
      <c r="C79" s="20"/>
      <c r="D79" s="20"/>
      <c r="E79" s="20"/>
      <c r="F79" s="20"/>
      <c r="G79" s="20"/>
      <c r="H79" s="102"/>
      <c r="I79" s="20"/>
    </row>
    <row r="80" spans="1:9" x14ac:dyDescent="0.25">
      <c r="A80" s="20"/>
      <c r="B80" s="20"/>
      <c r="C80" s="20"/>
      <c r="D80" s="20"/>
      <c r="E80" s="20"/>
      <c r="F80" s="20"/>
      <c r="G80" s="20"/>
      <c r="H80" s="102"/>
      <c r="I80" s="20"/>
    </row>
    <row r="81" spans="1:16" x14ac:dyDescent="0.25">
      <c r="A81" s="20"/>
      <c r="B81" s="20"/>
      <c r="C81" s="20"/>
      <c r="D81" s="20"/>
      <c r="E81" s="20"/>
      <c r="F81" s="20"/>
      <c r="G81" s="20"/>
      <c r="H81" s="102"/>
      <c r="I81" s="20"/>
    </row>
    <row r="82" spans="1:16" x14ac:dyDescent="0.25">
      <c r="A82" s="20"/>
      <c r="B82" s="20"/>
      <c r="C82" s="20"/>
      <c r="D82" s="20"/>
      <c r="E82" s="20"/>
      <c r="F82" s="20"/>
      <c r="G82" s="20"/>
      <c r="H82" s="102"/>
      <c r="I82" s="20"/>
      <c r="J82" s="20"/>
      <c r="K82" s="20"/>
      <c r="L82" s="20"/>
      <c r="M82" s="20"/>
      <c r="N82" s="20"/>
      <c r="O82" s="20"/>
      <c r="P82" s="20"/>
    </row>
    <row r="83" spans="1:16" ht="18.75" customHeight="1" x14ac:dyDescent="0.25">
      <c r="A83" s="150" t="s">
        <v>59</v>
      </c>
      <c r="B83" s="150"/>
      <c r="C83" s="150"/>
      <c r="D83" s="149"/>
      <c r="E83" s="149"/>
      <c r="F83" s="151" t="s">
        <v>60</v>
      </c>
      <c r="G83" s="152"/>
      <c r="H83" s="102"/>
      <c r="I83" s="20"/>
      <c r="J83" s="20"/>
      <c r="K83" s="20"/>
      <c r="L83" s="20"/>
      <c r="M83" s="20"/>
      <c r="N83" s="20"/>
      <c r="O83" s="20"/>
      <c r="P83" s="20"/>
    </row>
    <row r="84" spans="1:16" ht="18.75" x14ac:dyDescent="0.3">
      <c r="A84" s="22"/>
      <c r="B84" s="22"/>
      <c r="C84" s="22"/>
      <c r="D84" s="148" t="s">
        <v>62</v>
      </c>
      <c r="E84" s="148"/>
      <c r="F84" s="148" t="s">
        <v>63</v>
      </c>
      <c r="G84" s="148"/>
      <c r="H84" s="102"/>
      <c r="I84" s="20"/>
      <c r="J84" s="20"/>
      <c r="K84" s="20"/>
      <c r="L84" s="20"/>
      <c r="M84" s="20"/>
      <c r="N84" s="20"/>
      <c r="O84" s="20"/>
      <c r="P84" s="20"/>
    </row>
    <row r="85" spans="1:16" ht="18.75" x14ac:dyDescent="0.3">
      <c r="A85" s="22"/>
      <c r="B85" s="22"/>
      <c r="C85" s="22"/>
      <c r="D85" s="22"/>
      <c r="E85" s="24"/>
      <c r="F85" s="23" t="s">
        <v>61</v>
      </c>
      <c r="G85" s="22"/>
      <c r="H85" s="102"/>
      <c r="I85" s="20"/>
      <c r="J85" s="20"/>
      <c r="K85" s="20"/>
      <c r="L85" s="20"/>
      <c r="M85" s="20"/>
      <c r="N85" s="20"/>
      <c r="O85" s="20"/>
      <c r="P85" s="20"/>
    </row>
    <row r="86" spans="1:16" ht="18.75" x14ac:dyDescent="0.3">
      <c r="A86" s="22"/>
      <c r="B86" s="22"/>
      <c r="C86" s="22"/>
      <c r="D86" s="22"/>
      <c r="E86" s="22"/>
      <c r="F86" s="22"/>
      <c r="G86" s="22"/>
      <c r="H86" s="102"/>
      <c r="I86" s="20"/>
      <c r="J86" s="20"/>
      <c r="K86" s="20"/>
      <c r="L86" s="20"/>
      <c r="M86" s="20"/>
      <c r="N86" s="20"/>
      <c r="O86" s="20"/>
      <c r="P86" s="20"/>
    </row>
    <row r="87" spans="1:16" x14ac:dyDescent="0.25">
      <c r="A87" s="20"/>
      <c r="B87" s="20"/>
      <c r="C87" s="20"/>
      <c r="D87" s="20"/>
      <c r="E87" s="20"/>
      <c r="F87" s="20"/>
      <c r="G87" s="20"/>
      <c r="H87" s="102"/>
      <c r="I87" s="20"/>
      <c r="J87" s="20"/>
      <c r="K87" s="20"/>
      <c r="L87" s="20"/>
      <c r="M87" s="20"/>
      <c r="N87" s="20"/>
      <c r="O87" s="20"/>
      <c r="P87" s="20"/>
    </row>
    <row r="88" spans="1:16" x14ac:dyDescent="0.25">
      <c r="A88" s="20"/>
      <c r="B88" s="20"/>
      <c r="C88" s="20"/>
      <c r="D88" s="20"/>
      <c r="E88" s="20"/>
      <c r="F88" s="21"/>
      <c r="G88" s="21"/>
      <c r="H88" s="103"/>
      <c r="I88" s="21"/>
      <c r="J88" s="21"/>
      <c r="K88" s="21"/>
      <c r="L88" s="21"/>
      <c r="M88" s="21"/>
      <c r="N88" s="20"/>
      <c r="O88" s="20"/>
      <c r="P88" s="20"/>
    </row>
    <row r="89" spans="1:16" x14ac:dyDescent="0.25">
      <c r="C89" s="20"/>
      <c r="D89" s="20"/>
      <c r="E89" s="20"/>
      <c r="F89" s="20"/>
      <c r="G89" s="20"/>
      <c r="H89" s="102"/>
      <c r="I89" s="20"/>
      <c r="J89" s="20"/>
      <c r="K89" s="20"/>
      <c r="L89" s="20"/>
      <c r="M89" s="20"/>
      <c r="N89" s="20"/>
      <c r="O89" s="20"/>
      <c r="P89" s="20"/>
    </row>
    <row r="90" spans="1:16" x14ac:dyDescent="0.25">
      <c r="C90" s="20"/>
      <c r="D90" s="20"/>
      <c r="E90" s="20"/>
      <c r="F90" s="20"/>
      <c r="G90" s="20"/>
      <c r="H90" s="102"/>
      <c r="I90" s="20"/>
      <c r="J90" s="20"/>
      <c r="K90" s="20"/>
      <c r="L90" s="20"/>
      <c r="M90" s="20"/>
      <c r="N90" s="20"/>
      <c r="O90" s="20"/>
      <c r="P90" s="20"/>
    </row>
    <row r="91" spans="1:16" x14ac:dyDescent="0.25">
      <c r="C91" s="20"/>
      <c r="D91" s="20"/>
      <c r="E91" s="20"/>
      <c r="F91" s="20"/>
      <c r="G91" s="20"/>
      <c r="H91" s="102"/>
      <c r="I91" s="20"/>
      <c r="J91" s="20"/>
      <c r="K91" s="20"/>
      <c r="L91" s="20"/>
      <c r="M91" s="20"/>
      <c r="N91" s="20"/>
      <c r="O91" s="20"/>
      <c r="P91" s="20"/>
    </row>
    <row r="92" spans="1:16" x14ac:dyDescent="0.25">
      <c r="C92" s="20"/>
      <c r="D92" s="20"/>
      <c r="E92" s="20"/>
      <c r="F92" s="20"/>
      <c r="G92" s="20"/>
      <c r="H92" s="102"/>
      <c r="I92" s="20"/>
      <c r="J92" s="20"/>
      <c r="K92" s="20"/>
      <c r="L92" s="20"/>
      <c r="M92" s="20"/>
      <c r="N92" s="20"/>
      <c r="O92" s="20"/>
      <c r="P92" s="20"/>
    </row>
    <row r="93" spans="1:16" x14ac:dyDescent="0.25">
      <c r="C93" s="20"/>
      <c r="D93" s="20"/>
      <c r="E93" s="20"/>
      <c r="F93" s="20"/>
      <c r="G93" s="20"/>
      <c r="H93" s="102"/>
      <c r="I93" s="20"/>
      <c r="J93" s="20"/>
      <c r="K93" s="20"/>
      <c r="L93" s="20"/>
      <c r="M93" s="20"/>
      <c r="N93" s="20"/>
      <c r="O93" s="20"/>
      <c r="P93" s="20"/>
    </row>
  </sheetData>
  <sheetProtection algorithmName="SHA-512" hashValue="NY2IYxVMhe0nP65aicMuPARNMu6Xl5KGcWfTd2OvBFm/VIAuH0A/euR0qsaobw7PTvgSJE2azGtXanqPsNdE5Q==" saltValue="NJDmdCA+w3pCer+m2gegbA==" spinCount="100000" sheet="1" objects="1" scenarios="1"/>
  <protectedRanges>
    <protectedRange sqref="D3:G3 C8:G8 A83:G83 E69:G70 E73:G76 I57:I76 I3:I23 I25:I51 F17:F23 F46:F47 F28 F40:F41 F43:F44 F37:F38 E57:G67" name="Диапазон1"/>
  </protectedRanges>
  <sortState ref="A25:I47">
    <sortCondition ref="C25:C47"/>
  </sortState>
  <mergeCells count="86">
    <mergeCell ref="C13:G13"/>
    <mergeCell ref="A12:B12"/>
    <mergeCell ref="B59:D59"/>
    <mergeCell ref="A49:F49"/>
    <mergeCell ref="A52:F52"/>
    <mergeCell ref="A13:B13"/>
    <mergeCell ref="C12:G12"/>
    <mergeCell ref="E59:G59"/>
    <mergeCell ref="A56:G56"/>
    <mergeCell ref="A51:F51"/>
    <mergeCell ref="B57:D57"/>
    <mergeCell ref="A48:F48"/>
    <mergeCell ref="A50:F50"/>
    <mergeCell ref="E57:G57"/>
    <mergeCell ref="E58:G58"/>
    <mergeCell ref="F39:G39"/>
    <mergeCell ref="A1:G1"/>
    <mergeCell ref="A2:G2"/>
    <mergeCell ref="A4:G4"/>
    <mergeCell ref="A5:G5"/>
    <mergeCell ref="A3:C3"/>
    <mergeCell ref="D3:G3"/>
    <mergeCell ref="A11:B11"/>
    <mergeCell ref="C11:G11"/>
    <mergeCell ref="C6:G6"/>
    <mergeCell ref="C8:G8"/>
    <mergeCell ref="A9:B9"/>
    <mergeCell ref="A10:B10"/>
    <mergeCell ref="A7:B7"/>
    <mergeCell ref="C7:G7"/>
    <mergeCell ref="C9:G9"/>
    <mergeCell ref="C10:G10"/>
    <mergeCell ref="A8:B8"/>
    <mergeCell ref="A6:B6"/>
    <mergeCell ref="E76:G76"/>
    <mergeCell ref="B70:D70"/>
    <mergeCell ref="B72:D72"/>
    <mergeCell ref="B73:D73"/>
    <mergeCell ref="B76:D76"/>
    <mergeCell ref="B75:D75"/>
    <mergeCell ref="E72:G72"/>
    <mergeCell ref="E73:G73"/>
    <mergeCell ref="H61:H65"/>
    <mergeCell ref="F84:G84"/>
    <mergeCell ref="D83:E83"/>
    <mergeCell ref="D84:E84"/>
    <mergeCell ref="A83:C83"/>
    <mergeCell ref="F83:G83"/>
    <mergeCell ref="A61:A65"/>
    <mergeCell ref="B69:D69"/>
    <mergeCell ref="B67:D67"/>
    <mergeCell ref="E67:G67"/>
    <mergeCell ref="B68:D68"/>
    <mergeCell ref="E68:G68"/>
    <mergeCell ref="E64:G64"/>
    <mergeCell ref="E65:G65"/>
    <mergeCell ref="B66:D66"/>
    <mergeCell ref="E66:G66"/>
    <mergeCell ref="A14:G14"/>
    <mergeCell ref="B60:D60"/>
    <mergeCell ref="E61:G61"/>
    <mergeCell ref="B71:D71"/>
    <mergeCell ref="E63:G63"/>
    <mergeCell ref="E69:G69"/>
    <mergeCell ref="E60:G60"/>
    <mergeCell ref="B58:D58"/>
    <mergeCell ref="B61:D65"/>
    <mergeCell ref="E62:G62"/>
    <mergeCell ref="F26:G26"/>
    <mergeCell ref="F29:G29"/>
    <mergeCell ref="F30:G30"/>
    <mergeCell ref="F36:G36"/>
    <mergeCell ref="F31:G31"/>
    <mergeCell ref="F32:G32"/>
    <mergeCell ref="F25:G25"/>
    <mergeCell ref="F27:G27"/>
    <mergeCell ref="E75:G75"/>
    <mergeCell ref="B74:D74"/>
    <mergeCell ref="E74:G74"/>
    <mergeCell ref="E70:G70"/>
    <mergeCell ref="E71:G71"/>
    <mergeCell ref="F33:G33"/>
    <mergeCell ref="F34:G34"/>
    <mergeCell ref="F35:G35"/>
    <mergeCell ref="F42:G42"/>
    <mergeCell ref="F45:G45"/>
  </mergeCells>
  <conditionalFormatting sqref="C8">
    <cfRule type="cellIs" dxfId="21" priority="305" operator="greaterThan">
      <formula>0</formula>
    </cfRule>
    <cfRule type="cellIs" dxfId="20" priority="306" operator="greaterThan">
      <formula>0</formula>
    </cfRule>
  </conditionalFormatting>
  <conditionalFormatting sqref="F17 F19 F21 F23">
    <cfRule type="cellIs" dxfId="19" priority="303" operator="greaterThan">
      <formula>0</formula>
    </cfRule>
    <cfRule type="cellIs" priority="304" operator="greaterThan">
      <formula>0</formula>
    </cfRule>
  </conditionalFormatting>
  <conditionalFormatting sqref="F18 F20 F22">
    <cfRule type="cellIs" dxfId="18" priority="291" operator="greaterThan">
      <formula>0</formula>
    </cfRule>
    <cfRule type="cellIs" priority="292" operator="greaterThan">
      <formula>0</formula>
    </cfRule>
  </conditionalFormatting>
  <conditionalFormatting sqref="E75">
    <cfRule type="cellIs" dxfId="17" priority="229" operator="greaterThan">
      <formula>0</formula>
    </cfRule>
    <cfRule type="cellIs" priority="230" operator="greaterThan">
      <formula>0</formula>
    </cfRule>
  </conditionalFormatting>
  <conditionalFormatting sqref="E76">
    <cfRule type="cellIs" dxfId="16" priority="227" operator="greaterThan">
      <formula>0</formula>
    </cfRule>
    <cfRule type="cellIs" priority="228" operator="greaterThan">
      <formula>0</formula>
    </cfRule>
  </conditionalFormatting>
  <conditionalFormatting sqref="E58:E59">
    <cfRule type="cellIs" dxfId="15" priority="221" operator="greaterThan">
      <formula>0</formula>
    </cfRule>
    <cfRule type="cellIs" priority="222" operator="greaterThan">
      <formula>0</formula>
    </cfRule>
  </conditionalFormatting>
  <conditionalFormatting sqref="E60:E67">
    <cfRule type="cellIs" dxfId="14" priority="219" operator="greaterThan">
      <formula>0</formula>
    </cfRule>
    <cfRule type="cellIs" priority="220" operator="greaterThan">
      <formula>0</formula>
    </cfRule>
  </conditionalFormatting>
  <conditionalFormatting sqref="E69:E70">
    <cfRule type="cellIs" dxfId="13" priority="213" operator="greaterThan">
      <formula>0</formula>
    </cfRule>
    <cfRule type="cellIs" priority="214" operator="greaterThan">
      <formula>0</formula>
    </cfRule>
  </conditionalFormatting>
  <conditionalFormatting sqref="E73">
    <cfRule type="cellIs" dxfId="12" priority="211" operator="greaterThan">
      <formula>0</formula>
    </cfRule>
    <cfRule type="cellIs" priority="212" operator="greaterThan">
      <formula>0</formula>
    </cfRule>
  </conditionalFormatting>
  <conditionalFormatting sqref="E74">
    <cfRule type="cellIs" dxfId="11" priority="209" operator="greaterThan">
      <formula>0</formula>
    </cfRule>
    <cfRule type="cellIs" priority="210" operator="greaterThan">
      <formula>0</formula>
    </cfRule>
  </conditionalFormatting>
  <conditionalFormatting sqref="E57:G57">
    <cfRule type="cellIs" dxfId="10" priority="28" operator="greaterThan">
      <formula>0</formula>
    </cfRule>
  </conditionalFormatting>
  <conditionalFormatting sqref="D3:G3">
    <cfRule type="cellIs" dxfId="9" priority="25" operator="greaterThan">
      <formula>0</formula>
    </cfRule>
  </conditionalFormatting>
  <conditionalFormatting sqref="F46">
    <cfRule type="cellIs" dxfId="8" priority="13" operator="greaterThan">
      <formula>0</formula>
    </cfRule>
    <cfRule type="cellIs" priority="14" operator="greaterThan">
      <formula>0</formula>
    </cfRule>
  </conditionalFormatting>
  <conditionalFormatting sqref="F28">
    <cfRule type="cellIs" dxfId="7" priority="11" operator="greaterThan">
      <formula>0</formula>
    </cfRule>
    <cfRule type="cellIs" priority="12" operator="greaterThan">
      <formula>0</formula>
    </cfRule>
  </conditionalFormatting>
  <conditionalFormatting sqref="F37">
    <cfRule type="cellIs" dxfId="6" priority="1" operator="greaterThan">
      <formula>0</formula>
    </cfRule>
    <cfRule type="cellIs" priority="2" operator="greaterThan">
      <formula>0</formula>
    </cfRule>
  </conditionalFormatting>
  <conditionalFormatting sqref="F40">
    <cfRule type="cellIs" dxfId="5" priority="17" operator="greaterThan">
      <formula>0</formula>
    </cfRule>
    <cfRule type="cellIs" priority="18" operator="greaterThan">
      <formula>0</formula>
    </cfRule>
  </conditionalFormatting>
  <conditionalFormatting sqref="F47">
    <cfRule type="cellIs" dxfId="4" priority="15" operator="greaterThan">
      <formula>0</formula>
    </cfRule>
    <cfRule type="cellIs" priority="16" operator="greaterThan">
      <formula>0</formula>
    </cfRule>
  </conditionalFormatting>
  <conditionalFormatting sqref="F41">
    <cfRule type="cellIs" dxfId="3" priority="9" operator="greaterThan">
      <formula>0</formula>
    </cfRule>
    <cfRule type="cellIs" priority="10" operator="greaterThan">
      <formula>0</formula>
    </cfRule>
  </conditionalFormatting>
  <conditionalFormatting sqref="F43">
    <cfRule type="cellIs" dxfId="2" priority="7" operator="greaterThan">
      <formula>0</formula>
    </cfRule>
    <cfRule type="cellIs" priority="8" operator="greaterThan">
      <formula>0</formula>
    </cfRule>
  </conditionalFormatting>
  <conditionalFormatting sqref="F44">
    <cfRule type="cellIs" dxfId="1" priority="5" operator="greaterThan">
      <formula>0</formula>
    </cfRule>
    <cfRule type="cellIs" priority="6" operator="greaterThan">
      <formula>0</formula>
    </cfRule>
  </conditionalFormatting>
  <conditionalFormatting sqref="F38">
    <cfRule type="cellIs" dxfId="0" priority="3" operator="greaterThan">
      <formula>0</formula>
    </cfRule>
    <cfRule type="cellIs" priority="4" operator="greaterThan">
      <formula>0</formula>
    </cfRule>
  </conditionalFormatting>
  <pageMargins left="0.7" right="0.7" top="0.75" bottom="0.75" header="0.3" footer="0.3"/>
  <pageSetup paperSize="9" scale="49" fitToHeight="0" orientation="landscape" r:id="rId1"/>
  <rowBreaks count="1" manualBreakCount="1">
    <brk id="8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F5809-D0F0-44BE-A3E5-F19B4870493A}">
  <sheetPr>
    <tabColor theme="4" tint="0.79998168889431442"/>
  </sheetPr>
  <dimension ref="A1:S377"/>
  <sheetViews>
    <sheetView workbookViewId="0">
      <selection activeCell="C13" sqref="C13"/>
    </sheetView>
  </sheetViews>
  <sheetFormatPr defaultColWidth="8.85546875" defaultRowHeight="15" x14ac:dyDescent="0.25"/>
  <cols>
    <col min="1" max="1" width="8.85546875" style="11"/>
    <col min="2" max="2" width="19.28515625" style="11" bestFit="1" customWidth="1"/>
    <col min="3" max="3" width="43.5703125" style="128" customWidth="1"/>
    <col min="4" max="4" width="11.140625" style="87" customWidth="1"/>
    <col min="5" max="6" width="11.140625" style="11" customWidth="1"/>
    <col min="7" max="13" width="11.140625" style="11" hidden="1" customWidth="1"/>
    <col min="14" max="15" width="11.85546875" style="11" hidden="1" customWidth="1"/>
    <col min="16" max="17" width="13.85546875" style="11" hidden="1" customWidth="1"/>
    <col min="18" max="19" width="15.7109375" style="11" customWidth="1"/>
    <col min="20" max="20" width="12.42578125" style="11" bestFit="1" customWidth="1"/>
    <col min="21" max="16384" width="8.85546875" style="11"/>
  </cols>
  <sheetData>
    <row r="1" spans="1:19" x14ac:dyDescent="0.25">
      <c r="A1" s="27"/>
      <c r="F1" s="44"/>
      <c r="G1" s="44"/>
      <c r="H1" s="44"/>
      <c r="I1" s="44"/>
      <c r="J1" s="44"/>
      <c r="K1" s="44"/>
      <c r="L1" s="44"/>
      <c r="M1" s="44"/>
    </row>
    <row r="2" spans="1:19" ht="15.75" x14ac:dyDescent="0.25">
      <c r="A2" s="186" t="s">
        <v>35</v>
      </c>
      <c r="B2" s="186"/>
      <c r="F2" s="45" t="s">
        <v>30</v>
      </c>
      <c r="G2" s="45"/>
      <c r="H2" s="45"/>
      <c r="I2" s="45"/>
      <c r="J2" s="45"/>
      <c r="K2" s="45"/>
      <c r="L2" s="45"/>
      <c r="M2" s="45"/>
    </row>
    <row r="3" spans="1:19" ht="15.75" x14ac:dyDescent="0.25">
      <c r="A3" s="187" t="s">
        <v>36</v>
      </c>
      <c r="B3" s="187"/>
      <c r="F3" s="46" t="s">
        <v>31</v>
      </c>
      <c r="G3" s="46"/>
      <c r="H3" s="46"/>
      <c r="I3" s="46"/>
      <c r="J3" s="46"/>
      <c r="K3" s="46"/>
      <c r="L3" s="46"/>
      <c r="M3" s="46"/>
    </row>
    <row r="4" spans="1:19" ht="15.75" x14ac:dyDescent="0.25">
      <c r="A4" s="187" t="s">
        <v>33</v>
      </c>
      <c r="B4" s="187"/>
      <c r="F4" s="46" t="s">
        <v>97</v>
      </c>
      <c r="G4" s="46"/>
      <c r="H4" s="46"/>
      <c r="I4" s="46"/>
      <c r="J4" s="46"/>
      <c r="K4" s="46"/>
      <c r="L4" s="46"/>
      <c r="M4" s="46"/>
    </row>
    <row r="5" spans="1:19" ht="15.75" x14ac:dyDescent="0.25">
      <c r="A5" s="188"/>
      <c r="B5" s="188"/>
      <c r="F5" s="47"/>
      <c r="G5" s="47"/>
      <c r="H5" s="47"/>
      <c r="I5" s="47"/>
      <c r="J5" s="47"/>
      <c r="K5" s="47"/>
      <c r="L5" s="47"/>
      <c r="M5" s="47"/>
    </row>
    <row r="6" spans="1:19" ht="15.75" x14ac:dyDescent="0.25">
      <c r="A6" s="28" t="s">
        <v>34</v>
      </c>
      <c r="B6" s="15"/>
      <c r="F6" s="48" t="s">
        <v>98</v>
      </c>
      <c r="G6" s="48"/>
      <c r="H6" s="48"/>
      <c r="I6" s="48"/>
      <c r="J6" s="48"/>
      <c r="K6" s="48"/>
      <c r="L6" s="48"/>
      <c r="M6" s="48"/>
    </row>
    <row r="7" spans="1:19" ht="15.75" x14ac:dyDescent="0.25">
      <c r="A7" s="28" t="s">
        <v>32</v>
      </c>
      <c r="B7" s="15"/>
      <c r="F7" s="48" t="s">
        <v>32</v>
      </c>
      <c r="G7" s="48"/>
      <c r="H7" s="48"/>
      <c r="I7" s="48"/>
      <c r="J7" s="48"/>
      <c r="K7" s="48"/>
      <c r="L7" s="48"/>
      <c r="M7" s="48"/>
    </row>
    <row r="8" spans="1:19" x14ac:dyDescent="0.25">
      <c r="A8" s="27"/>
      <c r="F8" s="44"/>
      <c r="G8" s="44"/>
      <c r="H8" s="44"/>
      <c r="I8" s="44"/>
      <c r="J8" s="44"/>
      <c r="K8" s="44"/>
      <c r="L8" s="44"/>
      <c r="M8" s="44"/>
    </row>
    <row r="9" spans="1:19" x14ac:dyDescent="0.25">
      <c r="A9" s="27"/>
      <c r="F9" s="44"/>
      <c r="G9" s="44"/>
      <c r="H9" s="44"/>
      <c r="I9" s="44"/>
      <c r="J9" s="44"/>
      <c r="K9" s="44"/>
      <c r="L9" s="44"/>
      <c r="M9" s="44"/>
    </row>
    <row r="10" spans="1:19" ht="15.75" x14ac:dyDescent="0.25">
      <c r="A10" s="189" t="s">
        <v>19</v>
      </c>
      <c r="B10" s="189"/>
      <c r="C10" s="189"/>
      <c r="D10" s="189"/>
      <c r="E10" s="189"/>
      <c r="F10" s="189"/>
      <c r="G10" s="189"/>
      <c r="H10" s="189"/>
      <c r="I10" s="189"/>
      <c r="J10" s="189"/>
      <c r="K10" s="189"/>
      <c r="L10" s="189"/>
      <c r="M10" s="189"/>
      <c r="N10" s="189"/>
      <c r="O10" s="189"/>
      <c r="P10" s="189"/>
      <c r="Q10" s="189"/>
      <c r="R10" s="189"/>
      <c r="S10" s="189"/>
    </row>
    <row r="11" spans="1:19" x14ac:dyDescent="0.25">
      <c r="A11" s="184" t="s">
        <v>519</v>
      </c>
      <c r="B11" s="184"/>
      <c r="C11" s="184"/>
      <c r="D11" s="184"/>
      <c r="E11" s="184"/>
      <c r="F11" s="184"/>
      <c r="G11" s="184"/>
      <c r="H11" s="184"/>
      <c r="I11" s="184"/>
      <c r="J11" s="184"/>
      <c r="K11" s="184"/>
      <c r="L11" s="184"/>
      <c r="M11" s="184"/>
      <c r="N11" s="184"/>
      <c r="O11" s="184"/>
      <c r="P11" s="184"/>
      <c r="Q11" s="184"/>
      <c r="R11" s="184"/>
      <c r="S11" s="184"/>
    </row>
    <row r="12" spans="1:19" x14ac:dyDescent="0.25">
      <c r="A12" s="185" t="s">
        <v>20</v>
      </c>
      <c r="B12" s="185"/>
      <c r="C12" s="185"/>
      <c r="D12" s="185"/>
      <c r="E12" s="185"/>
      <c r="F12" s="185"/>
      <c r="G12" s="185"/>
      <c r="H12" s="185"/>
      <c r="I12" s="185"/>
      <c r="J12" s="185"/>
      <c r="K12" s="185"/>
      <c r="L12" s="185"/>
      <c r="M12" s="185"/>
      <c r="N12" s="185"/>
      <c r="O12" s="185"/>
      <c r="P12" s="185"/>
      <c r="Q12" s="185"/>
      <c r="R12" s="185"/>
      <c r="S12" s="185"/>
    </row>
    <row r="13" spans="1:19" x14ac:dyDescent="0.25">
      <c r="A13" s="27"/>
      <c r="F13" s="44"/>
      <c r="G13" s="44"/>
      <c r="H13" s="44"/>
      <c r="I13" s="44"/>
      <c r="J13" s="44"/>
      <c r="K13" s="44"/>
      <c r="L13" s="44"/>
      <c r="M13" s="44"/>
    </row>
    <row r="14" spans="1:19" ht="31.5" customHeight="1" x14ac:dyDescent="0.25">
      <c r="A14" s="201" t="s">
        <v>11</v>
      </c>
      <c r="B14" s="199" t="s">
        <v>12</v>
      </c>
      <c r="C14" s="203" t="s">
        <v>13</v>
      </c>
      <c r="D14" s="190" t="s">
        <v>517</v>
      </c>
      <c r="E14" s="199" t="s">
        <v>14</v>
      </c>
      <c r="F14" s="205" t="s">
        <v>15</v>
      </c>
      <c r="G14" s="181" t="s">
        <v>215</v>
      </c>
      <c r="H14" s="181" t="s">
        <v>216</v>
      </c>
      <c r="I14" s="181" t="s">
        <v>217</v>
      </c>
      <c r="J14" s="181" t="s">
        <v>218</v>
      </c>
      <c r="K14" s="181" t="s">
        <v>219</v>
      </c>
      <c r="L14" s="181" t="s">
        <v>220</v>
      </c>
      <c r="M14" s="181" t="s">
        <v>221</v>
      </c>
      <c r="N14" s="196" t="s">
        <v>23</v>
      </c>
      <c r="O14" s="197"/>
      <c r="P14" s="197"/>
      <c r="Q14" s="198"/>
      <c r="R14" s="196" t="s">
        <v>16</v>
      </c>
      <c r="S14" s="198"/>
    </row>
    <row r="15" spans="1:19" x14ac:dyDescent="0.25">
      <c r="A15" s="202"/>
      <c r="B15" s="200"/>
      <c r="C15" s="204"/>
      <c r="D15" s="191"/>
      <c r="E15" s="200"/>
      <c r="F15" s="206"/>
      <c r="G15" s="182"/>
      <c r="H15" s="182"/>
      <c r="I15" s="182"/>
      <c r="J15" s="182"/>
      <c r="K15" s="182"/>
      <c r="L15" s="182"/>
      <c r="M15" s="182"/>
      <c r="N15" s="199" t="s">
        <v>26</v>
      </c>
      <c r="O15" s="199" t="s">
        <v>27</v>
      </c>
      <c r="P15" s="199" t="s">
        <v>28</v>
      </c>
      <c r="Q15" s="199" t="s">
        <v>29</v>
      </c>
      <c r="R15" s="199" t="s">
        <v>17</v>
      </c>
      <c r="S15" s="199" t="s">
        <v>18</v>
      </c>
    </row>
    <row r="16" spans="1:19" x14ac:dyDescent="0.25">
      <c r="A16" s="202"/>
      <c r="B16" s="200"/>
      <c r="C16" s="204"/>
      <c r="D16" s="192"/>
      <c r="E16" s="200"/>
      <c r="F16" s="206"/>
      <c r="G16" s="183"/>
      <c r="H16" s="183"/>
      <c r="I16" s="183"/>
      <c r="J16" s="183"/>
      <c r="K16" s="183"/>
      <c r="L16" s="183"/>
      <c r="M16" s="183"/>
      <c r="N16" s="200"/>
      <c r="O16" s="200"/>
      <c r="P16" s="200"/>
      <c r="Q16" s="200"/>
      <c r="R16" s="200"/>
      <c r="S16" s="200"/>
    </row>
    <row r="17" spans="1:19" x14ac:dyDescent="0.25">
      <c r="A17" s="107" t="s">
        <v>222</v>
      </c>
      <c r="B17" s="108"/>
      <c r="C17" s="109"/>
      <c r="D17" s="110"/>
      <c r="E17" s="111"/>
      <c r="F17" s="112"/>
      <c r="G17" s="113"/>
      <c r="H17" s="113"/>
      <c r="I17" s="113"/>
      <c r="J17" s="113"/>
      <c r="K17" s="113"/>
      <c r="L17" s="113"/>
      <c r="M17" s="113"/>
      <c r="N17" s="33"/>
      <c r="O17" s="33"/>
      <c r="P17" s="33"/>
      <c r="Q17" s="33"/>
      <c r="R17" s="33"/>
      <c r="S17" s="31"/>
    </row>
    <row r="18" spans="1:19" x14ac:dyDescent="0.25">
      <c r="A18" s="114" t="s">
        <v>223</v>
      </c>
      <c r="B18" s="108"/>
      <c r="C18" s="109"/>
      <c r="D18" s="110"/>
      <c r="E18" s="111"/>
      <c r="F18" s="112"/>
      <c r="G18" s="113"/>
      <c r="H18" s="113"/>
      <c r="I18" s="113"/>
      <c r="J18" s="113"/>
      <c r="K18" s="113"/>
      <c r="L18" s="113"/>
      <c r="M18" s="113"/>
      <c r="N18" s="33"/>
      <c r="O18" s="33"/>
      <c r="P18" s="33"/>
      <c r="Q18" s="33"/>
      <c r="R18" s="33"/>
      <c r="S18" s="31"/>
    </row>
    <row r="19" spans="1:19" ht="156" x14ac:dyDescent="0.25">
      <c r="A19" s="115" t="s">
        <v>102</v>
      </c>
      <c r="B19" s="116" t="s">
        <v>224</v>
      </c>
      <c r="C19" s="117" t="s">
        <v>525</v>
      </c>
      <c r="D19" s="118"/>
      <c r="E19" s="115" t="s">
        <v>225</v>
      </c>
      <c r="F19" s="119">
        <f t="shared" ref="F19:F36" si="0">SUM(G19:M19)</f>
        <v>370.99</v>
      </c>
      <c r="G19" s="105">
        <v>49.73</v>
      </c>
      <c r="H19" s="105">
        <v>58.39</v>
      </c>
      <c r="I19" s="105">
        <v>27.33</v>
      </c>
      <c r="J19" s="105">
        <v>127.2</v>
      </c>
      <c r="K19" s="105">
        <v>27.31</v>
      </c>
      <c r="L19" s="105">
        <v>39.5</v>
      </c>
      <c r="M19" s="105">
        <v>41.53</v>
      </c>
      <c r="N19" s="106">
        <f>VLOOKUP(B19,'Форма КП'!$B$17:$G$23,5,FALSE)</f>
        <v>0</v>
      </c>
      <c r="O19" s="106">
        <f>N19*F19</f>
        <v>0</v>
      </c>
      <c r="P19" s="106"/>
      <c r="Q19" s="106"/>
      <c r="R19" s="106">
        <f>N19</f>
        <v>0</v>
      </c>
      <c r="S19" s="106">
        <f>N19*F19</f>
        <v>0</v>
      </c>
    </row>
    <row r="20" spans="1:19" x14ac:dyDescent="0.25">
      <c r="A20" s="120" t="s">
        <v>103</v>
      </c>
      <c r="B20" s="116" t="s">
        <v>226</v>
      </c>
      <c r="C20" s="121" t="s">
        <v>227</v>
      </c>
      <c r="D20" s="122">
        <v>0.15</v>
      </c>
      <c r="E20" s="120" t="s">
        <v>228</v>
      </c>
      <c r="F20" s="123">
        <f t="shared" si="0"/>
        <v>55.66</v>
      </c>
      <c r="G20" s="88">
        <f>G19*D20</f>
        <v>7.46</v>
      </c>
      <c r="H20" s="88">
        <f>H19*D20</f>
        <v>8.76</v>
      </c>
      <c r="I20" s="88">
        <f>I19*D20</f>
        <v>4.0999999999999996</v>
      </c>
      <c r="J20" s="88">
        <f>J19*D20</f>
        <v>19.079999999999998</v>
      </c>
      <c r="K20" s="88">
        <f>K19*D20</f>
        <v>4.0999999999999996</v>
      </c>
      <c r="L20" s="88">
        <f>L19*D20</f>
        <v>5.93</v>
      </c>
      <c r="M20" s="88">
        <f>M19*D20</f>
        <v>6.23</v>
      </c>
      <c r="N20" s="29"/>
      <c r="O20" s="29"/>
      <c r="P20" s="49" t="str">
        <f>VLOOKUP(B20,'Форма КП'!$B$25:$G$47,5,FALSE)</f>
        <v>Материал заказчика</v>
      </c>
      <c r="Q20" s="50"/>
      <c r="R20" s="49" t="str">
        <f t="shared" ref="R20:R22" si="1">P20</f>
        <v>Материал заказчика</v>
      </c>
      <c r="S20" s="50"/>
    </row>
    <row r="21" spans="1:19" x14ac:dyDescent="0.25">
      <c r="A21" s="120" t="s">
        <v>104</v>
      </c>
      <c r="B21" s="116" t="s">
        <v>229</v>
      </c>
      <c r="C21" s="121" t="s">
        <v>230</v>
      </c>
      <c r="D21" s="122">
        <v>8</v>
      </c>
      <c r="E21" s="120" t="s">
        <v>231</v>
      </c>
      <c r="F21" s="123">
        <f t="shared" si="0"/>
        <v>2967.92</v>
      </c>
      <c r="G21" s="88">
        <f>G19*D21</f>
        <v>397.84</v>
      </c>
      <c r="H21" s="88">
        <f>H19*D21</f>
        <v>467.12</v>
      </c>
      <c r="I21" s="88">
        <f>I19*D21</f>
        <v>218.64</v>
      </c>
      <c r="J21" s="88">
        <f>J19*D21</f>
        <v>1017.6</v>
      </c>
      <c r="K21" s="88">
        <f>K19*D21</f>
        <v>218.48</v>
      </c>
      <c r="L21" s="88">
        <f>L19*D21</f>
        <v>316</v>
      </c>
      <c r="M21" s="88">
        <f>M19*D21</f>
        <v>332.24</v>
      </c>
      <c r="N21" s="29"/>
      <c r="O21" s="29"/>
      <c r="P21" s="49" t="str">
        <f>VLOOKUP(B21,'Форма КП'!$B$25:$G$47,5,FALSE)</f>
        <v>Материал заказчика</v>
      </c>
      <c r="Q21" s="50"/>
      <c r="R21" s="49" t="str">
        <f t="shared" si="1"/>
        <v>Материал заказчика</v>
      </c>
      <c r="S21" s="50"/>
    </row>
    <row r="22" spans="1:19" x14ac:dyDescent="0.25">
      <c r="A22" s="120" t="s">
        <v>105</v>
      </c>
      <c r="B22" s="116" t="s">
        <v>232</v>
      </c>
      <c r="C22" s="121" t="s">
        <v>233</v>
      </c>
      <c r="D22" s="122">
        <v>0.2</v>
      </c>
      <c r="E22" s="120" t="s">
        <v>231</v>
      </c>
      <c r="F22" s="123">
        <f t="shared" si="0"/>
        <v>74.209999999999994</v>
      </c>
      <c r="G22" s="88">
        <f>G19*D22</f>
        <v>9.9499999999999993</v>
      </c>
      <c r="H22" s="88">
        <f>H19*D22</f>
        <v>11.68</v>
      </c>
      <c r="I22" s="88">
        <f>I19*D22</f>
        <v>5.47</v>
      </c>
      <c r="J22" s="88">
        <f>J19*D22</f>
        <v>25.44</v>
      </c>
      <c r="K22" s="88">
        <f>K19*D22</f>
        <v>5.46</v>
      </c>
      <c r="L22" s="88">
        <f>L19*D22</f>
        <v>7.9</v>
      </c>
      <c r="M22" s="88">
        <f>M19*D22</f>
        <v>8.31</v>
      </c>
      <c r="N22" s="29"/>
      <c r="O22" s="29"/>
      <c r="P22" s="49" t="str">
        <f>VLOOKUP(B22,'Форма КП'!$B$25:$G$47,5,FALSE)</f>
        <v>Материал заказчика</v>
      </c>
      <c r="Q22" s="50"/>
      <c r="R22" s="49" t="str">
        <f t="shared" si="1"/>
        <v>Материал заказчика</v>
      </c>
      <c r="S22" s="50"/>
    </row>
    <row r="23" spans="1:19" x14ac:dyDescent="0.25">
      <c r="A23" s="120" t="s">
        <v>106</v>
      </c>
      <c r="B23" s="116" t="s">
        <v>234</v>
      </c>
      <c r="C23" s="121" t="s">
        <v>235</v>
      </c>
      <c r="D23" s="122">
        <v>1.05</v>
      </c>
      <c r="E23" s="120" t="s">
        <v>225</v>
      </c>
      <c r="F23" s="123">
        <f t="shared" si="0"/>
        <v>389.56</v>
      </c>
      <c r="G23" s="88">
        <f>G19*D23</f>
        <v>52.22</v>
      </c>
      <c r="H23" s="88">
        <f>H19*D23</f>
        <v>61.31</v>
      </c>
      <c r="I23" s="88">
        <f>I19*D23</f>
        <v>28.7</v>
      </c>
      <c r="J23" s="88">
        <f>J19*D23</f>
        <v>133.56</v>
      </c>
      <c r="K23" s="88">
        <f>K19*D23</f>
        <v>28.68</v>
      </c>
      <c r="L23" s="88">
        <f>L19*D23</f>
        <v>41.48</v>
      </c>
      <c r="M23" s="88">
        <f>M19*D23</f>
        <v>43.61</v>
      </c>
      <c r="N23" s="29"/>
      <c r="O23" s="29"/>
      <c r="P23" s="49" t="str">
        <f>VLOOKUP(B23,'Форма КП'!$B$25:$G$47,5,FALSE)</f>
        <v>Материал заказчика</v>
      </c>
      <c r="Q23" s="50"/>
      <c r="R23" s="49" t="str">
        <f t="shared" ref="R23" si="2">P23</f>
        <v>Материал заказчика</v>
      </c>
      <c r="S23" s="50"/>
    </row>
    <row r="24" spans="1:19" ht="156" x14ac:dyDescent="0.25">
      <c r="A24" s="115" t="s">
        <v>107</v>
      </c>
      <c r="B24" s="116" t="s">
        <v>236</v>
      </c>
      <c r="C24" s="117" t="s">
        <v>526</v>
      </c>
      <c r="D24" s="118"/>
      <c r="E24" s="115" t="s">
        <v>225</v>
      </c>
      <c r="F24" s="119">
        <f t="shared" si="0"/>
        <v>858.34</v>
      </c>
      <c r="G24" s="105">
        <v>138.28</v>
      </c>
      <c r="H24" s="105">
        <v>125.76</v>
      </c>
      <c r="I24" s="105">
        <v>124.01</v>
      </c>
      <c r="J24" s="105">
        <v>78.14</v>
      </c>
      <c r="K24" s="105">
        <v>128.68</v>
      </c>
      <c r="L24" s="105">
        <v>133.94</v>
      </c>
      <c r="M24" s="105">
        <v>129.53</v>
      </c>
      <c r="N24" s="106">
        <f>VLOOKUP(B24,'Форма КП'!$B$17:$G$23,5,FALSE)</f>
        <v>0</v>
      </c>
      <c r="O24" s="106">
        <f>N24*F24</f>
        <v>0</v>
      </c>
      <c r="P24" s="106"/>
      <c r="Q24" s="106"/>
      <c r="R24" s="106">
        <f>N24</f>
        <v>0</v>
      </c>
      <c r="S24" s="106">
        <f>N24*F24</f>
        <v>0</v>
      </c>
    </row>
    <row r="25" spans="1:19" ht="24" x14ac:dyDescent="0.25">
      <c r="A25" s="120" t="s">
        <v>108</v>
      </c>
      <c r="B25" s="116" t="s">
        <v>237</v>
      </c>
      <c r="C25" s="121" t="s">
        <v>238</v>
      </c>
      <c r="D25" s="122">
        <v>0.06</v>
      </c>
      <c r="E25" s="120" t="s">
        <v>231</v>
      </c>
      <c r="F25" s="123">
        <f t="shared" si="0"/>
        <v>51.51</v>
      </c>
      <c r="G25" s="124">
        <f>G24*D25</f>
        <v>8.3000000000000007</v>
      </c>
      <c r="H25" s="124">
        <f>H24*D25</f>
        <v>7.55</v>
      </c>
      <c r="I25" s="124">
        <f>I24*D25</f>
        <v>7.44</v>
      </c>
      <c r="J25" s="124">
        <f>J24*D25</f>
        <v>4.6900000000000004</v>
      </c>
      <c r="K25" s="124">
        <f>K24*D25</f>
        <v>7.72</v>
      </c>
      <c r="L25" s="124">
        <f>L24*D25</f>
        <v>8.0399999999999991</v>
      </c>
      <c r="M25" s="124">
        <f>M24*D25</f>
        <v>7.77</v>
      </c>
      <c r="N25" s="29"/>
      <c r="O25" s="29"/>
      <c r="P25" s="86">
        <f>VLOOKUP(B25,'Форма КП'!$B$25:$G$47,5,FALSE)</f>
        <v>0</v>
      </c>
      <c r="Q25" s="86">
        <f t="shared" ref="Q25:Q30" si="3">P25*F25</f>
        <v>0</v>
      </c>
      <c r="R25" s="32">
        <f t="shared" ref="R25:R31" si="4">P25</f>
        <v>0</v>
      </c>
      <c r="S25" s="32">
        <f t="shared" ref="S25:S30" si="5">P25*F25</f>
        <v>0</v>
      </c>
    </row>
    <row r="26" spans="1:19" x14ac:dyDescent="0.25">
      <c r="A26" s="120" t="s">
        <v>109</v>
      </c>
      <c r="B26" s="116" t="s">
        <v>239</v>
      </c>
      <c r="C26" s="121" t="s">
        <v>240</v>
      </c>
      <c r="D26" s="122">
        <v>0.71</v>
      </c>
      <c r="E26" s="120" t="s">
        <v>231</v>
      </c>
      <c r="F26" s="123">
        <f t="shared" si="0"/>
        <v>609.42999999999995</v>
      </c>
      <c r="G26" s="124">
        <f>G24*D26</f>
        <v>98.18</v>
      </c>
      <c r="H26" s="124">
        <f>H24*D26</f>
        <v>89.29</v>
      </c>
      <c r="I26" s="124">
        <f>I24*D26</f>
        <v>88.05</v>
      </c>
      <c r="J26" s="124">
        <f>J24*D26</f>
        <v>55.48</v>
      </c>
      <c r="K26" s="124">
        <f>K24*D26</f>
        <v>91.36</v>
      </c>
      <c r="L26" s="124">
        <f>L24*D26</f>
        <v>95.1</v>
      </c>
      <c r="M26" s="124">
        <f>M24*D26</f>
        <v>91.97</v>
      </c>
      <c r="N26" s="29"/>
      <c r="O26" s="29"/>
      <c r="P26" s="86">
        <f>VLOOKUP(B26,'Форма КП'!$B$25:$G$47,5,FALSE)</f>
        <v>0</v>
      </c>
      <c r="Q26" s="86">
        <f t="shared" si="3"/>
        <v>0</v>
      </c>
      <c r="R26" s="32">
        <f t="shared" si="4"/>
        <v>0</v>
      </c>
      <c r="S26" s="32">
        <f t="shared" si="5"/>
        <v>0</v>
      </c>
    </row>
    <row r="27" spans="1:19" ht="36" x14ac:dyDescent="0.25">
      <c r="A27" s="120" t="s">
        <v>110</v>
      </c>
      <c r="B27" s="116" t="s">
        <v>241</v>
      </c>
      <c r="C27" s="121" t="s">
        <v>242</v>
      </c>
      <c r="D27" s="122">
        <v>0.38</v>
      </c>
      <c r="E27" s="120" t="s">
        <v>231</v>
      </c>
      <c r="F27" s="123">
        <f t="shared" si="0"/>
        <v>326.17</v>
      </c>
      <c r="G27" s="124">
        <f>G24*D27</f>
        <v>52.55</v>
      </c>
      <c r="H27" s="124">
        <f>H24*D27</f>
        <v>47.79</v>
      </c>
      <c r="I27" s="124">
        <f>I24*D27</f>
        <v>47.12</v>
      </c>
      <c r="J27" s="124">
        <f>J24*D27</f>
        <v>29.69</v>
      </c>
      <c r="K27" s="124">
        <f>K24*D27</f>
        <v>48.9</v>
      </c>
      <c r="L27" s="124">
        <f>L24*D27</f>
        <v>50.9</v>
      </c>
      <c r="M27" s="124">
        <f>M24*D27</f>
        <v>49.22</v>
      </c>
      <c r="N27" s="29"/>
      <c r="O27" s="29"/>
      <c r="P27" s="49" t="str">
        <f>VLOOKUP(B27,'Форма КП'!$B$25:$G$47,5,FALSE)</f>
        <v>Материал заказчика</v>
      </c>
      <c r="Q27" s="50"/>
      <c r="R27" s="49" t="str">
        <f t="shared" si="4"/>
        <v>Материал заказчика</v>
      </c>
      <c r="S27" s="50"/>
    </row>
    <row r="28" spans="1:19" x14ac:dyDescent="0.25">
      <c r="A28" s="120" t="s">
        <v>111</v>
      </c>
      <c r="B28" s="116" t="s">
        <v>243</v>
      </c>
      <c r="C28" s="121" t="s">
        <v>244</v>
      </c>
      <c r="D28" s="122">
        <v>0.59</v>
      </c>
      <c r="E28" s="120" t="s">
        <v>231</v>
      </c>
      <c r="F28" s="123">
        <f t="shared" si="0"/>
        <v>506.42</v>
      </c>
      <c r="G28" s="124">
        <f>G24*D28</f>
        <v>81.59</v>
      </c>
      <c r="H28" s="124">
        <f>H24*D28</f>
        <v>74.2</v>
      </c>
      <c r="I28" s="124">
        <f>I24*D28</f>
        <v>73.17</v>
      </c>
      <c r="J28" s="124">
        <f>J24*D28</f>
        <v>46.1</v>
      </c>
      <c r="K28" s="124">
        <f>K24*D28</f>
        <v>75.92</v>
      </c>
      <c r="L28" s="124">
        <f>L24*D28</f>
        <v>79.02</v>
      </c>
      <c r="M28" s="124">
        <f>M24*D28</f>
        <v>76.42</v>
      </c>
      <c r="N28" s="29"/>
      <c r="O28" s="29"/>
      <c r="P28" s="86">
        <f>VLOOKUP(B28,'Форма КП'!$B$25:$G$47,5,FALSE)</f>
        <v>0</v>
      </c>
      <c r="Q28" s="86">
        <f t="shared" si="3"/>
        <v>0</v>
      </c>
      <c r="R28" s="32">
        <f t="shared" si="4"/>
        <v>0</v>
      </c>
      <c r="S28" s="32">
        <f t="shared" si="5"/>
        <v>0</v>
      </c>
    </row>
    <row r="29" spans="1:19" x14ac:dyDescent="0.25">
      <c r="A29" s="120" t="s">
        <v>112</v>
      </c>
      <c r="B29" s="116" t="s">
        <v>245</v>
      </c>
      <c r="C29" s="121" t="s">
        <v>246</v>
      </c>
      <c r="D29" s="122">
        <v>0.315</v>
      </c>
      <c r="E29" s="120" t="s">
        <v>231</v>
      </c>
      <c r="F29" s="123">
        <f t="shared" si="0"/>
        <v>270.36</v>
      </c>
      <c r="G29" s="124">
        <f>G24*D29</f>
        <v>43.56</v>
      </c>
      <c r="H29" s="124">
        <f>H24*D29</f>
        <v>39.61</v>
      </c>
      <c r="I29" s="124">
        <f>I24*D29</f>
        <v>39.06</v>
      </c>
      <c r="J29" s="124">
        <f>J24*D29</f>
        <v>24.61</v>
      </c>
      <c r="K29" s="124">
        <f>K24*D29</f>
        <v>40.53</v>
      </c>
      <c r="L29" s="124">
        <f>L24*D29</f>
        <v>42.19</v>
      </c>
      <c r="M29" s="124">
        <f>M24*D29</f>
        <v>40.799999999999997</v>
      </c>
      <c r="N29" s="29"/>
      <c r="O29" s="29"/>
      <c r="P29" s="86">
        <f>VLOOKUP(B29,'Форма КП'!$B$25:$G$47,5,FALSE)</f>
        <v>0</v>
      </c>
      <c r="Q29" s="86">
        <f t="shared" si="3"/>
        <v>0</v>
      </c>
      <c r="R29" s="32">
        <f t="shared" si="4"/>
        <v>0</v>
      </c>
      <c r="S29" s="32">
        <f t="shared" si="5"/>
        <v>0</v>
      </c>
    </row>
    <row r="30" spans="1:19" x14ac:dyDescent="0.25">
      <c r="A30" s="120" t="s">
        <v>113</v>
      </c>
      <c r="B30" s="116" t="s">
        <v>247</v>
      </c>
      <c r="C30" s="121" t="s">
        <v>248</v>
      </c>
      <c r="D30" s="122">
        <v>1.2E-2</v>
      </c>
      <c r="E30" s="120" t="s">
        <v>231</v>
      </c>
      <c r="F30" s="123">
        <f t="shared" si="0"/>
        <v>10.3</v>
      </c>
      <c r="G30" s="124">
        <f>G24*D30</f>
        <v>1.66</v>
      </c>
      <c r="H30" s="124">
        <f>H24*D30</f>
        <v>1.51</v>
      </c>
      <c r="I30" s="124">
        <f>I24*D30</f>
        <v>1.49</v>
      </c>
      <c r="J30" s="124">
        <f>J24*D30</f>
        <v>0.94</v>
      </c>
      <c r="K30" s="124">
        <f>K24*D30</f>
        <v>1.54</v>
      </c>
      <c r="L30" s="124">
        <f>L24*D30</f>
        <v>1.61</v>
      </c>
      <c r="M30" s="124">
        <f>M24*D30</f>
        <v>1.55</v>
      </c>
      <c r="N30" s="29"/>
      <c r="O30" s="29"/>
      <c r="P30" s="86">
        <f>VLOOKUP(B30,'Форма КП'!$B$25:$G$47,5,FALSE)</f>
        <v>0</v>
      </c>
      <c r="Q30" s="86">
        <f t="shared" si="3"/>
        <v>0</v>
      </c>
      <c r="R30" s="32">
        <f t="shared" si="4"/>
        <v>0</v>
      </c>
      <c r="S30" s="32">
        <f t="shared" si="5"/>
        <v>0</v>
      </c>
    </row>
    <row r="31" spans="1:19" x14ac:dyDescent="0.25">
      <c r="A31" s="120" t="s">
        <v>114</v>
      </c>
      <c r="B31" s="116" t="s">
        <v>249</v>
      </c>
      <c r="C31" s="121" t="s">
        <v>250</v>
      </c>
      <c r="D31" s="122">
        <v>0.02</v>
      </c>
      <c r="E31" s="120" t="s">
        <v>231</v>
      </c>
      <c r="F31" s="123">
        <f t="shared" si="0"/>
        <v>17.170000000000002</v>
      </c>
      <c r="G31" s="124">
        <f>G24*D31</f>
        <v>2.77</v>
      </c>
      <c r="H31" s="124">
        <f>H24*D31</f>
        <v>2.52</v>
      </c>
      <c r="I31" s="124">
        <f>I24*D31</f>
        <v>2.48</v>
      </c>
      <c r="J31" s="124">
        <f>J24*D31</f>
        <v>1.56</v>
      </c>
      <c r="K31" s="124">
        <f>K24*D31</f>
        <v>2.57</v>
      </c>
      <c r="L31" s="124">
        <f>L24*D31</f>
        <v>2.68</v>
      </c>
      <c r="M31" s="124">
        <f>M24*D31</f>
        <v>2.59</v>
      </c>
      <c r="N31" s="29"/>
      <c r="O31" s="29"/>
      <c r="P31" s="49" t="str">
        <f>VLOOKUP(B31,'Форма КП'!$B$25:$G$47,5,FALSE)</f>
        <v>Материал заказчика</v>
      </c>
      <c r="Q31" s="50"/>
      <c r="R31" s="49" t="str">
        <f t="shared" si="4"/>
        <v>Материал заказчика</v>
      </c>
      <c r="S31" s="50"/>
    </row>
    <row r="32" spans="1:19" ht="168" x14ac:dyDescent="0.25">
      <c r="A32" s="115" t="s">
        <v>115</v>
      </c>
      <c r="B32" s="116" t="s">
        <v>251</v>
      </c>
      <c r="C32" s="117" t="s">
        <v>527</v>
      </c>
      <c r="D32" s="118"/>
      <c r="E32" s="115" t="s">
        <v>6</v>
      </c>
      <c r="F32" s="119">
        <f t="shared" si="0"/>
        <v>204.92</v>
      </c>
      <c r="G32" s="105">
        <v>31.1</v>
      </c>
      <c r="H32" s="105">
        <v>30.99</v>
      </c>
      <c r="I32" s="105">
        <v>30.92</v>
      </c>
      <c r="J32" s="105">
        <v>35.39</v>
      </c>
      <c r="K32" s="105">
        <v>25.58</v>
      </c>
      <c r="L32" s="105">
        <v>25.52</v>
      </c>
      <c r="M32" s="105">
        <v>25.42</v>
      </c>
      <c r="N32" s="106">
        <f>VLOOKUP(B32,'Форма КП'!$B$17:$G$23,5,FALSE)</f>
        <v>0</v>
      </c>
      <c r="O32" s="106">
        <f>N32*F32</f>
        <v>0</v>
      </c>
      <c r="P32" s="106"/>
      <c r="Q32" s="106"/>
      <c r="R32" s="106">
        <f>N32</f>
        <v>0</v>
      </c>
      <c r="S32" s="106">
        <f>N32*F32</f>
        <v>0</v>
      </c>
    </row>
    <row r="33" spans="1:19" x14ac:dyDescent="0.25">
      <c r="A33" s="120" t="s">
        <v>116</v>
      </c>
      <c r="B33" s="116" t="s">
        <v>252</v>
      </c>
      <c r="C33" s="121" t="s">
        <v>227</v>
      </c>
      <c r="D33" s="122">
        <v>1.4999999999999999E-2</v>
      </c>
      <c r="E33" s="120" t="s">
        <v>231</v>
      </c>
      <c r="F33" s="123">
        <f t="shared" si="0"/>
        <v>3.06</v>
      </c>
      <c r="G33" s="88">
        <f>G32*D33</f>
        <v>0.47</v>
      </c>
      <c r="H33" s="88">
        <f>H32*D33</f>
        <v>0.46</v>
      </c>
      <c r="I33" s="88">
        <f>I32*D33</f>
        <v>0.46</v>
      </c>
      <c r="J33" s="88">
        <f>J32*D33</f>
        <v>0.53</v>
      </c>
      <c r="K33" s="88">
        <f>K32*D33</f>
        <v>0.38</v>
      </c>
      <c r="L33" s="88">
        <f>L32*D33</f>
        <v>0.38</v>
      </c>
      <c r="M33" s="88">
        <f>M32*D33</f>
        <v>0.38</v>
      </c>
      <c r="N33" s="29"/>
      <c r="O33" s="29"/>
      <c r="P33" s="49" t="str">
        <f>VLOOKUP(B33,'Форма КП'!$B$25:$G$47,5,FALSE)</f>
        <v>Материал заказчика</v>
      </c>
      <c r="Q33" s="50"/>
      <c r="R33" s="49" t="str">
        <f t="shared" ref="R33:R36" si="6">P33</f>
        <v>Материал заказчика</v>
      </c>
      <c r="S33" s="50"/>
    </row>
    <row r="34" spans="1:19" x14ac:dyDescent="0.25">
      <c r="A34" s="120" t="s">
        <v>117</v>
      </c>
      <c r="B34" s="116" t="s">
        <v>229</v>
      </c>
      <c r="C34" s="121" t="s">
        <v>230</v>
      </c>
      <c r="D34" s="122">
        <v>0.8</v>
      </c>
      <c r="E34" s="120" t="s">
        <v>231</v>
      </c>
      <c r="F34" s="123">
        <f t="shared" si="0"/>
        <v>163.94</v>
      </c>
      <c r="G34" s="88">
        <f>G32*D34</f>
        <v>24.88</v>
      </c>
      <c r="H34" s="88">
        <f>H32*D34</f>
        <v>24.79</v>
      </c>
      <c r="I34" s="88">
        <f>I32*D34</f>
        <v>24.74</v>
      </c>
      <c r="J34" s="88">
        <f>J32*D34</f>
        <v>28.31</v>
      </c>
      <c r="K34" s="88">
        <f>K32*D34</f>
        <v>20.46</v>
      </c>
      <c r="L34" s="88">
        <f>L32*D34</f>
        <v>20.420000000000002</v>
      </c>
      <c r="M34" s="88">
        <f>M32*D34</f>
        <v>20.34</v>
      </c>
      <c r="N34" s="29"/>
      <c r="O34" s="29"/>
      <c r="P34" s="49" t="str">
        <f>VLOOKUP(B34,'Форма КП'!$B$25:$G$47,5,FALSE)</f>
        <v>Материал заказчика</v>
      </c>
      <c r="Q34" s="50"/>
      <c r="R34" s="49" t="str">
        <f t="shared" si="6"/>
        <v>Материал заказчика</v>
      </c>
      <c r="S34" s="50"/>
    </row>
    <row r="35" spans="1:19" x14ac:dyDescent="0.25">
      <c r="A35" s="120" t="s">
        <v>118</v>
      </c>
      <c r="B35" s="116" t="s">
        <v>232</v>
      </c>
      <c r="C35" s="121" t="s">
        <v>233</v>
      </c>
      <c r="D35" s="122">
        <v>0.02</v>
      </c>
      <c r="E35" s="120" t="s">
        <v>231</v>
      </c>
      <c r="F35" s="123">
        <f t="shared" si="0"/>
        <v>4.0999999999999996</v>
      </c>
      <c r="G35" s="88">
        <f>G32*D35</f>
        <v>0.62</v>
      </c>
      <c r="H35" s="88">
        <f>H32*D35</f>
        <v>0.62</v>
      </c>
      <c r="I35" s="88">
        <f>I32*D35</f>
        <v>0.62</v>
      </c>
      <c r="J35" s="88">
        <f>J32*D35</f>
        <v>0.71</v>
      </c>
      <c r="K35" s="88">
        <f>K32*D35</f>
        <v>0.51</v>
      </c>
      <c r="L35" s="88">
        <f>L32*D35</f>
        <v>0.51</v>
      </c>
      <c r="M35" s="88">
        <f>M32*D35</f>
        <v>0.51</v>
      </c>
      <c r="N35" s="29"/>
      <c r="O35" s="29"/>
      <c r="P35" s="49" t="str">
        <f>VLOOKUP(B35,'Форма КП'!$B$25:$G$47,5,FALSE)</f>
        <v>Материал заказчика</v>
      </c>
      <c r="Q35" s="50"/>
      <c r="R35" s="49" t="str">
        <f t="shared" si="6"/>
        <v>Материал заказчика</v>
      </c>
      <c r="S35" s="50"/>
    </row>
    <row r="36" spans="1:19" ht="24" x14ac:dyDescent="0.25">
      <c r="A36" s="120" t="s">
        <v>119</v>
      </c>
      <c r="B36" s="116" t="s">
        <v>253</v>
      </c>
      <c r="C36" s="121" t="s">
        <v>254</v>
      </c>
      <c r="D36" s="122">
        <v>0.11</v>
      </c>
      <c r="E36" s="120" t="s">
        <v>225</v>
      </c>
      <c r="F36" s="123">
        <f t="shared" si="0"/>
        <v>22.54</v>
      </c>
      <c r="G36" s="88">
        <f>G32*D36</f>
        <v>3.42</v>
      </c>
      <c r="H36" s="88">
        <f>H32*D36</f>
        <v>3.41</v>
      </c>
      <c r="I36" s="88">
        <f>I32*D36</f>
        <v>3.4</v>
      </c>
      <c r="J36" s="88">
        <f>J32*D36</f>
        <v>3.89</v>
      </c>
      <c r="K36" s="88">
        <f>K32*D36</f>
        <v>2.81</v>
      </c>
      <c r="L36" s="88">
        <f>L32*D36</f>
        <v>2.81</v>
      </c>
      <c r="M36" s="88">
        <f>M32*D36</f>
        <v>2.8</v>
      </c>
      <c r="N36" s="29"/>
      <c r="O36" s="29"/>
      <c r="P36" s="49" t="str">
        <f>VLOOKUP(B36,'Форма КП'!$B$25:$G$47,5,FALSE)</f>
        <v>Материал заказчика</v>
      </c>
      <c r="Q36" s="50"/>
      <c r="R36" s="49" t="str">
        <f t="shared" si="6"/>
        <v>Материал заказчика</v>
      </c>
      <c r="S36" s="50"/>
    </row>
    <row r="37" spans="1:19" ht="96" x14ac:dyDescent="0.25">
      <c r="A37" s="115" t="s">
        <v>120</v>
      </c>
      <c r="B37" s="116" t="s">
        <v>255</v>
      </c>
      <c r="C37" s="117" t="s">
        <v>528</v>
      </c>
      <c r="D37" s="118"/>
      <c r="E37" s="115" t="s">
        <v>225</v>
      </c>
      <c r="F37" s="119">
        <v>4.78</v>
      </c>
      <c r="G37" s="105"/>
      <c r="H37" s="105"/>
      <c r="I37" s="105"/>
      <c r="J37" s="105">
        <v>4.78</v>
      </c>
      <c r="K37" s="105"/>
      <c r="L37" s="105"/>
      <c r="M37" s="105"/>
      <c r="N37" s="106">
        <f>VLOOKUP(B37,'Форма КП'!$B$17:$G$23,5,FALSE)</f>
        <v>0</v>
      </c>
      <c r="O37" s="106">
        <f>N37*F37</f>
        <v>0</v>
      </c>
      <c r="P37" s="106"/>
      <c r="Q37" s="106"/>
      <c r="R37" s="106">
        <f>N37</f>
        <v>0</v>
      </c>
      <c r="S37" s="106">
        <f>N37*F37</f>
        <v>0</v>
      </c>
    </row>
    <row r="38" spans="1:19" x14ac:dyDescent="0.25">
      <c r="A38" s="120" t="s">
        <v>121</v>
      </c>
      <c r="B38" s="116" t="s">
        <v>256</v>
      </c>
      <c r="C38" s="121" t="s">
        <v>257</v>
      </c>
      <c r="D38" s="122">
        <v>1</v>
      </c>
      <c r="E38" s="120" t="s">
        <v>225</v>
      </c>
      <c r="F38" s="123">
        <v>4.78</v>
      </c>
      <c r="G38" s="88">
        <f>G37*D38</f>
        <v>0</v>
      </c>
      <c r="H38" s="88">
        <f>H37*D38</f>
        <v>0</v>
      </c>
      <c r="I38" s="88">
        <f>I37*D38</f>
        <v>0</v>
      </c>
      <c r="J38" s="88">
        <f>J37*D38</f>
        <v>4.78</v>
      </c>
      <c r="K38" s="88">
        <f>K37*D38</f>
        <v>0</v>
      </c>
      <c r="L38" s="88">
        <f>L37*D38</f>
        <v>0</v>
      </c>
      <c r="M38" s="88">
        <f>M37*D38</f>
        <v>0</v>
      </c>
      <c r="N38" s="29"/>
      <c r="O38" s="29"/>
      <c r="P38" s="49" t="str">
        <f>VLOOKUP(B38,'Форма КП'!$B$25:$G$47,5,FALSE)</f>
        <v>Материал заказчика</v>
      </c>
      <c r="Q38" s="50"/>
      <c r="R38" s="49" t="str">
        <f t="shared" ref="R38" si="7">P38</f>
        <v>Материал заказчика</v>
      </c>
      <c r="S38" s="50"/>
    </row>
    <row r="39" spans="1:19" x14ac:dyDescent="0.25">
      <c r="A39" s="107" t="s">
        <v>258</v>
      </c>
      <c r="B39" s="108"/>
      <c r="C39" s="109"/>
      <c r="D39" s="110"/>
      <c r="E39" s="111"/>
      <c r="F39" s="112"/>
      <c r="G39" s="113"/>
      <c r="H39" s="113"/>
      <c r="I39" s="113"/>
      <c r="J39" s="113"/>
      <c r="K39" s="113"/>
      <c r="L39" s="113"/>
      <c r="M39" s="113"/>
      <c r="N39" s="33"/>
      <c r="O39" s="33"/>
      <c r="P39" s="33"/>
      <c r="Q39" s="33"/>
      <c r="R39" s="33"/>
      <c r="S39" s="31"/>
    </row>
    <row r="40" spans="1:19" x14ac:dyDescent="0.25">
      <c r="A40" s="114" t="s">
        <v>223</v>
      </c>
      <c r="B40" s="108"/>
      <c r="C40" s="109"/>
      <c r="D40" s="110"/>
      <c r="E40" s="111"/>
      <c r="F40" s="112"/>
      <c r="G40" s="113"/>
      <c r="H40" s="113"/>
      <c r="I40" s="113"/>
      <c r="J40" s="113"/>
      <c r="K40" s="113"/>
      <c r="L40" s="113"/>
      <c r="M40" s="113"/>
      <c r="N40" s="33"/>
      <c r="O40" s="33"/>
      <c r="P40" s="33"/>
      <c r="Q40" s="33"/>
      <c r="R40" s="33"/>
      <c r="S40" s="31"/>
    </row>
    <row r="41" spans="1:19" ht="180" x14ac:dyDescent="0.25">
      <c r="A41" s="115" t="s">
        <v>122</v>
      </c>
      <c r="B41" s="116" t="s">
        <v>259</v>
      </c>
      <c r="C41" s="117" t="s">
        <v>529</v>
      </c>
      <c r="D41" s="118"/>
      <c r="E41" s="115" t="s">
        <v>225</v>
      </c>
      <c r="F41" s="119">
        <f t="shared" ref="F41:F65" si="8">SUM(G41:M41)</f>
        <v>51.48</v>
      </c>
      <c r="G41" s="105">
        <f>5.41+9.25*0.3</f>
        <v>8.19</v>
      </c>
      <c r="H41" s="105">
        <f>3.41+7.06*0.3</f>
        <v>5.53</v>
      </c>
      <c r="I41" s="105">
        <f>3.41+7.06*0.3</f>
        <v>5.53</v>
      </c>
      <c r="J41" s="105">
        <f>5.29+9.21*0.3</f>
        <v>8.0500000000000007</v>
      </c>
      <c r="K41" s="105">
        <f>3.41+7.06*0.3</f>
        <v>5.53</v>
      </c>
      <c r="L41" s="105">
        <f>5.35+9.42*0.3</f>
        <v>8.18</v>
      </c>
      <c r="M41" s="105">
        <f>3.41+7.06</f>
        <v>10.47</v>
      </c>
      <c r="N41" s="106">
        <f>VLOOKUP(B41,'Форма КП'!$B$17:$G$23,5,FALSE)</f>
        <v>0</v>
      </c>
      <c r="O41" s="106">
        <f>N41*F41</f>
        <v>0</v>
      </c>
      <c r="P41" s="106"/>
      <c r="Q41" s="106"/>
      <c r="R41" s="106">
        <f>N41</f>
        <v>0</v>
      </c>
      <c r="S41" s="106">
        <f>N41*F41</f>
        <v>0</v>
      </c>
    </row>
    <row r="42" spans="1:19" x14ac:dyDescent="0.25">
      <c r="A42" s="120" t="s">
        <v>123</v>
      </c>
      <c r="B42" s="116" t="s">
        <v>260</v>
      </c>
      <c r="C42" s="121" t="s">
        <v>261</v>
      </c>
      <c r="D42" s="122">
        <v>5</v>
      </c>
      <c r="E42" s="120" t="s">
        <v>231</v>
      </c>
      <c r="F42" s="123">
        <f t="shared" si="8"/>
        <v>257.39999999999998</v>
      </c>
      <c r="G42" s="88">
        <f>G41*D42</f>
        <v>40.950000000000003</v>
      </c>
      <c r="H42" s="88">
        <f>H41*D42</f>
        <v>27.65</v>
      </c>
      <c r="I42" s="88">
        <f>I41*D42</f>
        <v>27.65</v>
      </c>
      <c r="J42" s="88">
        <f>J41*D42</f>
        <v>40.25</v>
      </c>
      <c r="K42" s="88">
        <f>K41*D42</f>
        <v>27.65</v>
      </c>
      <c r="L42" s="88">
        <f>L41*D42</f>
        <v>40.9</v>
      </c>
      <c r="M42" s="88">
        <f>M41*D42</f>
        <v>52.35</v>
      </c>
      <c r="N42" s="29"/>
      <c r="O42" s="29"/>
      <c r="P42" s="49" t="str">
        <f>VLOOKUP(B42,'Форма КП'!$B$25:$G$47,5,FALSE)</f>
        <v>Материал заказчика</v>
      </c>
      <c r="Q42" s="50"/>
      <c r="R42" s="49" t="str">
        <f t="shared" ref="R42:R43" si="9">P42</f>
        <v>Материал заказчика</v>
      </c>
      <c r="S42" s="50"/>
    </row>
    <row r="43" spans="1:19" x14ac:dyDescent="0.25">
      <c r="A43" s="120" t="s">
        <v>124</v>
      </c>
      <c r="B43" s="116" t="s">
        <v>262</v>
      </c>
      <c r="C43" s="121" t="s">
        <v>263</v>
      </c>
      <c r="D43" s="122" t="s">
        <v>518</v>
      </c>
      <c r="E43" s="120" t="s">
        <v>225</v>
      </c>
      <c r="F43" s="123">
        <f t="shared" si="8"/>
        <v>19.38</v>
      </c>
      <c r="G43" s="88">
        <f>9.25*0.3*1.15</f>
        <v>3.19</v>
      </c>
      <c r="H43" s="88">
        <f>7.06*0.3*1.15</f>
        <v>2.44</v>
      </c>
      <c r="I43" s="88">
        <f>7.06*0.3*1.15</f>
        <v>2.44</v>
      </c>
      <c r="J43" s="88">
        <f>9.21*0.3*1.15</f>
        <v>3.18</v>
      </c>
      <c r="K43" s="88">
        <f>7.06*0.3*1.15</f>
        <v>2.44</v>
      </c>
      <c r="L43" s="88">
        <f>9.42*0.3*1.15</f>
        <v>3.25</v>
      </c>
      <c r="M43" s="88">
        <f>7.06*0.3*1.15</f>
        <v>2.44</v>
      </c>
      <c r="N43" s="29"/>
      <c r="O43" s="29"/>
      <c r="P43" s="49" t="str">
        <f>VLOOKUP(B43,'Форма КП'!$B$25:$G$47,5,FALSE)</f>
        <v>Материал заказчика</v>
      </c>
      <c r="Q43" s="50"/>
      <c r="R43" s="49" t="str">
        <f t="shared" si="9"/>
        <v>Материал заказчика</v>
      </c>
      <c r="S43" s="50"/>
    </row>
    <row r="44" spans="1:19" ht="168" x14ac:dyDescent="0.25">
      <c r="A44" s="115" t="s">
        <v>125</v>
      </c>
      <c r="B44" s="116" t="s">
        <v>264</v>
      </c>
      <c r="C44" s="117" t="s">
        <v>530</v>
      </c>
      <c r="D44" s="118"/>
      <c r="E44" s="115" t="s">
        <v>225</v>
      </c>
      <c r="F44" s="119">
        <f t="shared" si="8"/>
        <v>615.41</v>
      </c>
      <c r="G44" s="105">
        <v>96.98</v>
      </c>
      <c r="H44" s="105">
        <v>89.29</v>
      </c>
      <c r="I44" s="105">
        <v>88.73</v>
      </c>
      <c r="J44" s="105">
        <v>77.95</v>
      </c>
      <c r="K44" s="105">
        <f>88.87</f>
        <v>88.87</v>
      </c>
      <c r="L44" s="105">
        <v>85.61</v>
      </c>
      <c r="M44" s="105">
        <v>87.98</v>
      </c>
      <c r="N44" s="106">
        <f>VLOOKUP(B44,'Форма КП'!$B$17:$G$23,5,FALSE)</f>
        <v>0</v>
      </c>
      <c r="O44" s="106">
        <f>N44*F44</f>
        <v>0</v>
      </c>
      <c r="P44" s="106"/>
      <c r="Q44" s="106"/>
      <c r="R44" s="106">
        <f>N44</f>
        <v>0</v>
      </c>
      <c r="S44" s="106">
        <f>N44*F44</f>
        <v>0</v>
      </c>
    </row>
    <row r="45" spans="1:19" x14ac:dyDescent="0.25">
      <c r="A45" s="120" t="s">
        <v>126</v>
      </c>
      <c r="B45" s="116" t="s">
        <v>265</v>
      </c>
      <c r="C45" s="121" t="s">
        <v>266</v>
      </c>
      <c r="D45" s="91">
        <v>6.1199999999999997E-2</v>
      </c>
      <c r="E45" s="120" t="s">
        <v>267</v>
      </c>
      <c r="F45" s="125">
        <f t="shared" si="8"/>
        <v>37.662999999999997</v>
      </c>
      <c r="G45" s="89">
        <f>G44*D45</f>
        <v>5.9349999999999996</v>
      </c>
      <c r="H45" s="89">
        <f>H44*D45</f>
        <v>5.4649999999999999</v>
      </c>
      <c r="I45" s="89">
        <f>I44*D45</f>
        <v>5.43</v>
      </c>
      <c r="J45" s="89">
        <f>J44*D45</f>
        <v>4.7709999999999999</v>
      </c>
      <c r="K45" s="89">
        <f>K44*D45</f>
        <v>5.4390000000000001</v>
      </c>
      <c r="L45" s="89">
        <f>L44*D45</f>
        <v>5.2389999999999999</v>
      </c>
      <c r="M45" s="89">
        <f>M44*D45</f>
        <v>5.3840000000000003</v>
      </c>
      <c r="N45" s="29"/>
      <c r="O45" s="29"/>
      <c r="P45" s="86">
        <f>VLOOKUP(B45,'Форма КП'!$B$25:$G$47,5,FALSE)</f>
        <v>0</v>
      </c>
      <c r="Q45" s="86">
        <f t="shared" ref="Q45:Q48" si="10">P45*F45</f>
        <v>0</v>
      </c>
      <c r="R45" s="32">
        <f t="shared" ref="R45:R48" si="11">P45</f>
        <v>0</v>
      </c>
      <c r="S45" s="32">
        <f t="shared" ref="S45:S48" si="12">P45*F45</f>
        <v>0</v>
      </c>
    </row>
    <row r="46" spans="1:19" x14ac:dyDescent="0.25">
      <c r="A46" s="120" t="s">
        <v>127</v>
      </c>
      <c r="B46" s="116" t="s">
        <v>268</v>
      </c>
      <c r="C46" s="121" t="s">
        <v>269</v>
      </c>
      <c r="D46" s="91">
        <v>7.3440000000000005E-2</v>
      </c>
      <c r="E46" s="120" t="s">
        <v>231</v>
      </c>
      <c r="F46" s="123">
        <f t="shared" si="8"/>
        <v>45.2</v>
      </c>
      <c r="G46" s="88">
        <f>G44*D46</f>
        <v>7.12</v>
      </c>
      <c r="H46" s="88">
        <f>H44*D46</f>
        <v>6.56</v>
      </c>
      <c r="I46" s="88">
        <f>I44*D46</f>
        <v>6.52</v>
      </c>
      <c r="J46" s="88">
        <f>J44*D46</f>
        <v>5.72</v>
      </c>
      <c r="K46" s="88">
        <f>K44*D46</f>
        <v>6.53</v>
      </c>
      <c r="L46" s="88">
        <f>L44*D46</f>
        <v>6.29</v>
      </c>
      <c r="M46" s="88">
        <f>M44*D46</f>
        <v>6.46</v>
      </c>
      <c r="N46" s="29"/>
      <c r="O46" s="29"/>
      <c r="P46" s="86">
        <f>VLOOKUP(B46,'Форма КП'!$B$25:$G$47,5,FALSE)</f>
        <v>0</v>
      </c>
      <c r="Q46" s="86">
        <f t="shared" si="10"/>
        <v>0</v>
      </c>
      <c r="R46" s="32">
        <f t="shared" si="11"/>
        <v>0</v>
      </c>
      <c r="S46" s="32">
        <f t="shared" si="12"/>
        <v>0</v>
      </c>
    </row>
    <row r="47" spans="1:19" ht="36" x14ac:dyDescent="0.25">
      <c r="A47" s="120" t="s">
        <v>128</v>
      </c>
      <c r="B47" s="116" t="s">
        <v>270</v>
      </c>
      <c r="C47" s="121" t="s">
        <v>271</v>
      </c>
      <c r="D47" s="91" t="s">
        <v>518</v>
      </c>
      <c r="E47" s="120" t="s">
        <v>6</v>
      </c>
      <c r="F47" s="123">
        <f t="shared" si="8"/>
        <v>846.66</v>
      </c>
      <c r="G47" s="90">
        <f>(127.36-9.8)*1.1</f>
        <v>129.32</v>
      </c>
      <c r="H47" s="90">
        <f>(120.26-8.4)*1.1</f>
        <v>123.05</v>
      </c>
      <c r="I47" s="90">
        <f>(120.36-8.4)*1.1</f>
        <v>123.16</v>
      </c>
      <c r="J47" s="90">
        <f>(118.88-9.6)*1.1</f>
        <v>120.21</v>
      </c>
      <c r="K47" s="90">
        <f>(119.79-11.2)*1.1</f>
        <v>119.45</v>
      </c>
      <c r="L47" s="90">
        <f>(113.07-10.77)*1.1</f>
        <v>112.53</v>
      </c>
      <c r="M47" s="90">
        <f>(119.33-11.2)*1.1</f>
        <v>118.94</v>
      </c>
      <c r="N47" s="29"/>
      <c r="O47" s="29"/>
      <c r="P47" s="86">
        <f>VLOOKUP(B47,'Форма КП'!$B$25:$G$47,5,FALSE)</f>
        <v>0</v>
      </c>
      <c r="Q47" s="86">
        <f t="shared" si="10"/>
        <v>0</v>
      </c>
      <c r="R47" s="32">
        <f t="shared" si="11"/>
        <v>0</v>
      </c>
      <c r="S47" s="32">
        <f t="shared" si="12"/>
        <v>0</v>
      </c>
    </row>
    <row r="48" spans="1:19" x14ac:dyDescent="0.25">
      <c r="A48" s="120" t="s">
        <v>129</v>
      </c>
      <c r="B48" s="116" t="s">
        <v>272</v>
      </c>
      <c r="C48" s="121" t="s">
        <v>273</v>
      </c>
      <c r="D48" s="91">
        <v>1.1499999999999999</v>
      </c>
      <c r="E48" s="120" t="s">
        <v>225</v>
      </c>
      <c r="F48" s="123">
        <f t="shared" si="8"/>
        <v>707.72</v>
      </c>
      <c r="G48" s="88">
        <f>G44*D48</f>
        <v>111.53</v>
      </c>
      <c r="H48" s="88">
        <f>H44*D48</f>
        <v>102.68</v>
      </c>
      <c r="I48" s="88">
        <f>I44*D48</f>
        <v>102.04</v>
      </c>
      <c r="J48" s="88">
        <f>J44*D48</f>
        <v>89.64</v>
      </c>
      <c r="K48" s="88">
        <f>K44*D48</f>
        <v>102.2</v>
      </c>
      <c r="L48" s="88">
        <f>L44*D48</f>
        <v>98.45</v>
      </c>
      <c r="M48" s="88">
        <f>M44*D48</f>
        <v>101.18</v>
      </c>
      <c r="N48" s="29"/>
      <c r="O48" s="29"/>
      <c r="P48" s="86">
        <f>VLOOKUP(B48,'Форма КП'!$B$25:$G$47,5,FALSE)</f>
        <v>0</v>
      </c>
      <c r="Q48" s="86">
        <f t="shared" si="10"/>
        <v>0</v>
      </c>
      <c r="R48" s="32">
        <f t="shared" si="11"/>
        <v>0</v>
      </c>
      <c r="S48" s="32">
        <f t="shared" si="12"/>
        <v>0</v>
      </c>
    </row>
    <row r="49" spans="1:19" ht="156" x14ac:dyDescent="0.25">
      <c r="A49" s="115" t="s">
        <v>130</v>
      </c>
      <c r="B49" s="116" t="s">
        <v>224</v>
      </c>
      <c r="C49" s="117" t="s">
        <v>525</v>
      </c>
      <c r="D49" s="118"/>
      <c r="E49" s="115" t="s">
        <v>225</v>
      </c>
      <c r="F49" s="119">
        <f t="shared" si="8"/>
        <v>29.69</v>
      </c>
      <c r="G49" s="105">
        <v>5.41</v>
      </c>
      <c r="H49" s="105">
        <v>3.41</v>
      </c>
      <c r="I49" s="105">
        <v>3.41</v>
      </c>
      <c r="J49" s="105">
        <v>5.29</v>
      </c>
      <c r="K49" s="105">
        <v>3.41</v>
      </c>
      <c r="L49" s="105">
        <v>5.35</v>
      </c>
      <c r="M49" s="105">
        <v>3.41</v>
      </c>
      <c r="N49" s="106">
        <f>VLOOKUP(B49,'Форма КП'!$B$17:$G$23,5,FALSE)</f>
        <v>0</v>
      </c>
      <c r="O49" s="106">
        <f>N49*F49</f>
        <v>0</v>
      </c>
      <c r="P49" s="106"/>
      <c r="Q49" s="106"/>
      <c r="R49" s="106">
        <f>N49</f>
        <v>0</v>
      </c>
      <c r="S49" s="106">
        <f>N49*F49</f>
        <v>0</v>
      </c>
    </row>
    <row r="50" spans="1:19" x14ac:dyDescent="0.25">
      <c r="A50" s="120" t="s">
        <v>131</v>
      </c>
      <c r="B50" s="116" t="s">
        <v>226</v>
      </c>
      <c r="C50" s="121" t="s">
        <v>227</v>
      </c>
      <c r="D50" s="91">
        <v>0.15</v>
      </c>
      <c r="E50" s="120" t="s">
        <v>228</v>
      </c>
      <c r="F50" s="123">
        <f t="shared" si="8"/>
        <v>4.4400000000000004</v>
      </c>
      <c r="G50" s="88">
        <f>G49*D50</f>
        <v>0.81</v>
      </c>
      <c r="H50" s="88">
        <f>H49*D50</f>
        <v>0.51</v>
      </c>
      <c r="I50" s="88">
        <f>I49*D50</f>
        <v>0.51</v>
      </c>
      <c r="J50" s="88">
        <f>J49*D50</f>
        <v>0.79</v>
      </c>
      <c r="K50" s="88">
        <f>K49*D50</f>
        <v>0.51</v>
      </c>
      <c r="L50" s="88">
        <f>L49*D50</f>
        <v>0.8</v>
      </c>
      <c r="M50" s="88">
        <f>M49*D50</f>
        <v>0.51</v>
      </c>
      <c r="N50" s="29"/>
      <c r="O50" s="29"/>
      <c r="P50" s="49" t="str">
        <f>VLOOKUP(B50,'Форма КП'!$B$25:$G$47,5,FALSE)</f>
        <v>Материал заказчика</v>
      </c>
      <c r="Q50" s="50"/>
      <c r="R50" s="49" t="str">
        <f t="shared" ref="R50:R53" si="13">P50</f>
        <v>Материал заказчика</v>
      </c>
      <c r="S50" s="50"/>
    </row>
    <row r="51" spans="1:19" x14ac:dyDescent="0.25">
      <c r="A51" s="120" t="s">
        <v>132</v>
      </c>
      <c r="B51" s="116" t="s">
        <v>229</v>
      </c>
      <c r="C51" s="121" t="s">
        <v>230</v>
      </c>
      <c r="D51" s="91">
        <v>8</v>
      </c>
      <c r="E51" s="120" t="s">
        <v>231</v>
      </c>
      <c r="F51" s="123">
        <f t="shared" si="8"/>
        <v>237.52</v>
      </c>
      <c r="G51" s="88">
        <f>G49*D51</f>
        <v>43.28</v>
      </c>
      <c r="H51" s="88">
        <f>H49*D51</f>
        <v>27.28</v>
      </c>
      <c r="I51" s="88">
        <f>I49*D51</f>
        <v>27.28</v>
      </c>
      <c r="J51" s="88">
        <f>J49*D51</f>
        <v>42.32</v>
      </c>
      <c r="K51" s="88">
        <f>K49*D51</f>
        <v>27.28</v>
      </c>
      <c r="L51" s="88">
        <f>L49*D51</f>
        <v>42.8</v>
      </c>
      <c r="M51" s="88">
        <f>M49*D51</f>
        <v>27.28</v>
      </c>
      <c r="N51" s="29"/>
      <c r="O51" s="29"/>
      <c r="P51" s="49" t="str">
        <f>VLOOKUP(B51,'Форма КП'!$B$25:$G$47,5,FALSE)</f>
        <v>Материал заказчика</v>
      </c>
      <c r="Q51" s="50"/>
      <c r="R51" s="49" t="str">
        <f t="shared" si="13"/>
        <v>Материал заказчика</v>
      </c>
      <c r="S51" s="50"/>
    </row>
    <row r="52" spans="1:19" x14ac:dyDescent="0.25">
      <c r="A52" s="120" t="s">
        <v>133</v>
      </c>
      <c r="B52" s="116" t="s">
        <v>232</v>
      </c>
      <c r="C52" s="121" t="s">
        <v>233</v>
      </c>
      <c r="D52" s="91">
        <v>0.2</v>
      </c>
      <c r="E52" s="120" t="s">
        <v>231</v>
      </c>
      <c r="F52" s="123">
        <f t="shared" si="8"/>
        <v>5.93</v>
      </c>
      <c r="G52" s="88">
        <f>G49*D52</f>
        <v>1.08</v>
      </c>
      <c r="H52" s="88">
        <f>H49*D52</f>
        <v>0.68</v>
      </c>
      <c r="I52" s="88">
        <f>I49*D52</f>
        <v>0.68</v>
      </c>
      <c r="J52" s="88">
        <f>J49*D52</f>
        <v>1.06</v>
      </c>
      <c r="K52" s="88">
        <f>K49*D52</f>
        <v>0.68</v>
      </c>
      <c r="L52" s="88">
        <f>L49*D52</f>
        <v>1.07</v>
      </c>
      <c r="M52" s="88">
        <f>M49*D52</f>
        <v>0.68</v>
      </c>
      <c r="N52" s="29"/>
      <c r="O52" s="29"/>
      <c r="P52" s="49" t="str">
        <f>VLOOKUP(B52,'Форма КП'!$B$25:$G$47,5,FALSE)</f>
        <v>Материал заказчика</v>
      </c>
      <c r="Q52" s="50"/>
      <c r="R52" s="49" t="str">
        <f t="shared" si="13"/>
        <v>Материал заказчика</v>
      </c>
      <c r="S52" s="50"/>
    </row>
    <row r="53" spans="1:19" ht="24" x14ac:dyDescent="0.25">
      <c r="A53" s="120" t="s">
        <v>134</v>
      </c>
      <c r="B53" s="116" t="s">
        <v>274</v>
      </c>
      <c r="C53" s="121" t="s">
        <v>275</v>
      </c>
      <c r="D53" s="92">
        <v>1.05</v>
      </c>
      <c r="E53" s="120" t="s">
        <v>225</v>
      </c>
      <c r="F53" s="123">
        <f t="shared" si="8"/>
        <v>31.17</v>
      </c>
      <c r="G53" s="88">
        <f>G49*D53</f>
        <v>5.68</v>
      </c>
      <c r="H53" s="88">
        <f>H49*D53</f>
        <v>3.58</v>
      </c>
      <c r="I53" s="88">
        <f>I49*D53</f>
        <v>3.58</v>
      </c>
      <c r="J53" s="88">
        <f>J49*D53</f>
        <v>5.55</v>
      </c>
      <c r="K53" s="88">
        <f>K49*D53</f>
        <v>3.58</v>
      </c>
      <c r="L53" s="88">
        <f>L49*D53</f>
        <v>5.62</v>
      </c>
      <c r="M53" s="88">
        <f>M49*D53</f>
        <v>3.58</v>
      </c>
      <c r="N53" s="29"/>
      <c r="O53" s="29"/>
      <c r="P53" s="49" t="str">
        <f>VLOOKUP(B53,'Форма КП'!$B$25:$G$47,5,FALSE)</f>
        <v>Материал заказчика</v>
      </c>
      <c r="Q53" s="50"/>
      <c r="R53" s="49" t="str">
        <f t="shared" si="13"/>
        <v>Материал заказчика</v>
      </c>
      <c r="S53" s="50"/>
    </row>
    <row r="54" spans="1:19" ht="156" x14ac:dyDescent="0.25">
      <c r="A54" s="115" t="s">
        <v>135</v>
      </c>
      <c r="B54" s="116" t="s">
        <v>224</v>
      </c>
      <c r="C54" s="117" t="s">
        <v>525</v>
      </c>
      <c r="D54" s="118"/>
      <c r="E54" s="115" t="s">
        <v>225</v>
      </c>
      <c r="F54" s="119">
        <f t="shared" si="8"/>
        <v>533</v>
      </c>
      <c r="G54" s="105">
        <v>79.61</v>
      </c>
      <c r="H54" s="105">
        <v>79.91</v>
      </c>
      <c r="I54" s="105">
        <v>79.37</v>
      </c>
      <c r="J54" s="105">
        <v>60.83</v>
      </c>
      <c r="K54" s="105">
        <v>79.09</v>
      </c>
      <c r="L54" s="105">
        <v>75.569999999999993</v>
      </c>
      <c r="M54" s="105">
        <v>78.62</v>
      </c>
      <c r="N54" s="106">
        <f>VLOOKUP(B54,'Форма КП'!$B$17:$G$23,5,FALSE)</f>
        <v>0</v>
      </c>
      <c r="O54" s="106">
        <f>N54*F54</f>
        <v>0</v>
      </c>
      <c r="P54" s="106"/>
      <c r="Q54" s="106"/>
      <c r="R54" s="106">
        <f>N54</f>
        <v>0</v>
      </c>
      <c r="S54" s="106">
        <f>N54*F54</f>
        <v>0</v>
      </c>
    </row>
    <row r="55" spans="1:19" x14ac:dyDescent="0.25">
      <c r="A55" s="120" t="s">
        <v>136</v>
      </c>
      <c r="B55" s="116" t="s">
        <v>226</v>
      </c>
      <c r="C55" s="121" t="s">
        <v>227</v>
      </c>
      <c r="D55" s="91">
        <v>0.15</v>
      </c>
      <c r="E55" s="120" t="s">
        <v>228</v>
      </c>
      <c r="F55" s="123">
        <f t="shared" si="8"/>
        <v>79.95</v>
      </c>
      <c r="G55" s="88">
        <f>G54*D55</f>
        <v>11.94</v>
      </c>
      <c r="H55" s="88">
        <f>H54*D55</f>
        <v>11.99</v>
      </c>
      <c r="I55" s="88">
        <f>I54*D55</f>
        <v>11.91</v>
      </c>
      <c r="J55" s="88">
        <f>J54*D55</f>
        <v>9.1199999999999992</v>
      </c>
      <c r="K55" s="88">
        <f>K54*D55</f>
        <v>11.86</v>
      </c>
      <c r="L55" s="88">
        <f>L54*D55</f>
        <v>11.34</v>
      </c>
      <c r="M55" s="88">
        <f>M54*D55</f>
        <v>11.79</v>
      </c>
      <c r="N55" s="29"/>
      <c r="O55" s="29"/>
      <c r="P55" s="49" t="str">
        <f>VLOOKUP(B55,'Форма КП'!$B$25:$G$47,5,FALSE)</f>
        <v>Материал заказчика</v>
      </c>
      <c r="Q55" s="50"/>
      <c r="R55" s="49" t="str">
        <f t="shared" ref="R55:R58" si="14">P55</f>
        <v>Материал заказчика</v>
      </c>
      <c r="S55" s="50"/>
    </row>
    <row r="56" spans="1:19" x14ac:dyDescent="0.25">
      <c r="A56" s="120" t="s">
        <v>137</v>
      </c>
      <c r="B56" s="116" t="s">
        <v>229</v>
      </c>
      <c r="C56" s="121" t="s">
        <v>230</v>
      </c>
      <c r="D56" s="91">
        <v>8</v>
      </c>
      <c r="E56" s="120" t="s">
        <v>231</v>
      </c>
      <c r="F56" s="123">
        <f t="shared" si="8"/>
        <v>4264</v>
      </c>
      <c r="G56" s="88">
        <f>G54*D56</f>
        <v>636.88</v>
      </c>
      <c r="H56" s="88">
        <f>H54*D56</f>
        <v>639.28</v>
      </c>
      <c r="I56" s="88">
        <f>I54*D56</f>
        <v>634.96</v>
      </c>
      <c r="J56" s="88">
        <f>J54*D56</f>
        <v>486.64</v>
      </c>
      <c r="K56" s="88">
        <f>K54*D56</f>
        <v>632.72</v>
      </c>
      <c r="L56" s="88">
        <f>L54*D56</f>
        <v>604.55999999999995</v>
      </c>
      <c r="M56" s="88">
        <f>M54*D56</f>
        <v>628.96</v>
      </c>
      <c r="N56" s="29"/>
      <c r="O56" s="29"/>
      <c r="P56" s="49" t="str">
        <f>VLOOKUP(B56,'Форма КП'!$B$25:$G$47,5,FALSE)</f>
        <v>Материал заказчика</v>
      </c>
      <c r="Q56" s="50"/>
      <c r="R56" s="49" t="str">
        <f t="shared" si="14"/>
        <v>Материал заказчика</v>
      </c>
      <c r="S56" s="50"/>
    </row>
    <row r="57" spans="1:19" x14ac:dyDescent="0.25">
      <c r="A57" s="120" t="s">
        <v>138</v>
      </c>
      <c r="B57" s="116" t="s">
        <v>232</v>
      </c>
      <c r="C57" s="121" t="s">
        <v>233</v>
      </c>
      <c r="D57" s="91">
        <v>0.2</v>
      </c>
      <c r="E57" s="120" t="s">
        <v>231</v>
      </c>
      <c r="F57" s="123">
        <f t="shared" si="8"/>
        <v>106.59</v>
      </c>
      <c r="G57" s="88">
        <f>G54*D57</f>
        <v>15.92</v>
      </c>
      <c r="H57" s="88">
        <f>H54*D57</f>
        <v>15.98</v>
      </c>
      <c r="I57" s="88">
        <f>I54*D57</f>
        <v>15.87</v>
      </c>
      <c r="J57" s="88">
        <f>J54*D57</f>
        <v>12.17</v>
      </c>
      <c r="K57" s="88">
        <f>K54*D57</f>
        <v>15.82</v>
      </c>
      <c r="L57" s="88">
        <f>L54*D57</f>
        <v>15.11</v>
      </c>
      <c r="M57" s="88">
        <f>M54*D57</f>
        <v>15.72</v>
      </c>
      <c r="N57" s="29"/>
      <c r="O57" s="29"/>
      <c r="P57" s="49" t="str">
        <f>VLOOKUP(B57,'Форма КП'!$B$25:$G$47,5,FALSE)</f>
        <v>Материал заказчика</v>
      </c>
      <c r="Q57" s="50"/>
      <c r="R57" s="49" t="str">
        <f t="shared" si="14"/>
        <v>Материал заказчика</v>
      </c>
      <c r="S57" s="50"/>
    </row>
    <row r="58" spans="1:19" x14ac:dyDescent="0.25">
      <c r="A58" s="120" t="s">
        <v>139</v>
      </c>
      <c r="B58" s="116" t="s">
        <v>276</v>
      </c>
      <c r="C58" s="121" t="s">
        <v>277</v>
      </c>
      <c r="D58" s="91">
        <v>1.05</v>
      </c>
      <c r="E58" s="120" t="s">
        <v>225</v>
      </c>
      <c r="F58" s="123">
        <f t="shared" si="8"/>
        <v>559.65</v>
      </c>
      <c r="G58" s="88">
        <f>G54*D58</f>
        <v>83.59</v>
      </c>
      <c r="H58" s="88">
        <f>H54*D58</f>
        <v>83.91</v>
      </c>
      <c r="I58" s="88">
        <f>I54*D58</f>
        <v>83.34</v>
      </c>
      <c r="J58" s="88">
        <f>J54*D58</f>
        <v>63.87</v>
      </c>
      <c r="K58" s="88">
        <f>K54*D58</f>
        <v>83.04</v>
      </c>
      <c r="L58" s="88">
        <f>L54*D58</f>
        <v>79.349999999999994</v>
      </c>
      <c r="M58" s="88">
        <f>M54*D58</f>
        <v>82.55</v>
      </c>
      <c r="N58" s="29"/>
      <c r="O58" s="29"/>
      <c r="P58" s="49" t="str">
        <f>VLOOKUP(B58,'Форма КП'!$B$25:$G$47,5,FALSE)</f>
        <v>Материал заказчика</v>
      </c>
      <c r="Q58" s="50"/>
      <c r="R58" s="49" t="str">
        <f t="shared" si="14"/>
        <v>Материал заказчика</v>
      </c>
      <c r="S58" s="50"/>
    </row>
    <row r="59" spans="1:19" ht="96" x14ac:dyDescent="0.25">
      <c r="A59" s="115" t="s">
        <v>140</v>
      </c>
      <c r="B59" s="116" t="s">
        <v>255</v>
      </c>
      <c r="C59" s="117" t="s">
        <v>528</v>
      </c>
      <c r="D59" s="118"/>
      <c r="E59" s="115" t="s">
        <v>225</v>
      </c>
      <c r="F59" s="119">
        <f t="shared" si="8"/>
        <v>34.64</v>
      </c>
      <c r="G59" s="105">
        <v>7.56</v>
      </c>
      <c r="H59" s="105">
        <v>4.66</v>
      </c>
      <c r="I59" s="105">
        <v>4.68</v>
      </c>
      <c r="J59" s="105">
        <v>2.62</v>
      </c>
      <c r="K59" s="105">
        <v>4.68</v>
      </c>
      <c r="L59" s="105">
        <v>5.76</v>
      </c>
      <c r="M59" s="105">
        <v>4.68</v>
      </c>
      <c r="N59" s="106">
        <f>VLOOKUP(B59,'Форма КП'!$B$17:$G$23,5,FALSE)</f>
        <v>0</v>
      </c>
      <c r="O59" s="106">
        <f>N59*F59</f>
        <v>0</v>
      </c>
      <c r="P59" s="106"/>
      <c r="Q59" s="106"/>
      <c r="R59" s="106">
        <f>N59</f>
        <v>0</v>
      </c>
      <c r="S59" s="106">
        <f>N59*F59</f>
        <v>0</v>
      </c>
    </row>
    <row r="60" spans="1:19" x14ac:dyDescent="0.25">
      <c r="A60" s="120" t="s">
        <v>141</v>
      </c>
      <c r="B60" s="116" t="s">
        <v>256</v>
      </c>
      <c r="C60" s="121" t="s">
        <v>257</v>
      </c>
      <c r="D60" s="122">
        <v>1</v>
      </c>
      <c r="E60" s="120" t="s">
        <v>225</v>
      </c>
      <c r="F60" s="123">
        <f t="shared" si="8"/>
        <v>34.64</v>
      </c>
      <c r="G60" s="88">
        <f>G59*D60</f>
        <v>7.56</v>
      </c>
      <c r="H60" s="88">
        <f>H59*D60</f>
        <v>4.66</v>
      </c>
      <c r="I60" s="88">
        <f>I59*D60</f>
        <v>4.68</v>
      </c>
      <c r="J60" s="88">
        <f>J59*D60</f>
        <v>2.62</v>
      </c>
      <c r="K60" s="88">
        <f>K59*D60</f>
        <v>4.68</v>
      </c>
      <c r="L60" s="88">
        <f>L59*D60</f>
        <v>5.76</v>
      </c>
      <c r="M60" s="88">
        <f>M59*D60</f>
        <v>4.68</v>
      </c>
      <c r="N60" s="29"/>
      <c r="O60" s="29"/>
      <c r="P60" s="49" t="str">
        <f>VLOOKUP(B60,'Форма КП'!$B$25:$G$47,5,FALSE)</f>
        <v>Материал заказчика</v>
      </c>
      <c r="Q60" s="50"/>
      <c r="R60" s="49" t="str">
        <f t="shared" ref="R60" si="15">P60</f>
        <v>Материал заказчика</v>
      </c>
      <c r="S60" s="50"/>
    </row>
    <row r="61" spans="1:19" ht="168" x14ac:dyDescent="0.25">
      <c r="A61" s="115" t="s">
        <v>142</v>
      </c>
      <c r="B61" s="116" t="s">
        <v>251</v>
      </c>
      <c r="C61" s="117" t="s">
        <v>527</v>
      </c>
      <c r="D61" s="118"/>
      <c r="E61" s="115" t="s">
        <v>6</v>
      </c>
      <c r="F61" s="119">
        <f t="shared" si="8"/>
        <v>450.28</v>
      </c>
      <c r="G61" s="105">
        <v>64.010000000000005</v>
      </c>
      <c r="H61" s="105">
        <v>65.150000000000006</v>
      </c>
      <c r="I61" s="105">
        <v>65.06</v>
      </c>
      <c r="J61" s="105">
        <v>65.239999999999995</v>
      </c>
      <c r="K61" s="105">
        <v>65.05</v>
      </c>
      <c r="L61" s="105">
        <v>61.08</v>
      </c>
      <c r="M61" s="105">
        <v>64.69</v>
      </c>
      <c r="N61" s="106">
        <f>VLOOKUP(B61,'Форма КП'!$B$17:$G$23,5,FALSE)</f>
        <v>0</v>
      </c>
      <c r="O61" s="106">
        <f>N61*F61</f>
        <v>0</v>
      </c>
      <c r="P61" s="106"/>
      <c r="Q61" s="106"/>
      <c r="R61" s="106">
        <f>N61</f>
        <v>0</v>
      </c>
      <c r="S61" s="106">
        <f>N61*F61</f>
        <v>0</v>
      </c>
    </row>
    <row r="62" spans="1:19" x14ac:dyDescent="0.25">
      <c r="A62" s="120" t="s">
        <v>143</v>
      </c>
      <c r="B62" s="116" t="s">
        <v>252</v>
      </c>
      <c r="C62" s="121" t="s">
        <v>227</v>
      </c>
      <c r="D62" s="91">
        <v>1.4999999999999999E-2</v>
      </c>
      <c r="E62" s="120" t="s">
        <v>231</v>
      </c>
      <c r="F62" s="123">
        <f t="shared" si="8"/>
        <v>6.77</v>
      </c>
      <c r="G62" s="88">
        <f>G61*D62</f>
        <v>0.96</v>
      </c>
      <c r="H62" s="88">
        <f>H61*D62</f>
        <v>0.98</v>
      </c>
      <c r="I62" s="88">
        <f>I61*D62</f>
        <v>0.98</v>
      </c>
      <c r="J62" s="88">
        <f>J61*D62</f>
        <v>0.98</v>
      </c>
      <c r="K62" s="88">
        <f>K61*D62</f>
        <v>0.98</v>
      </c>
      <c r="L62" s="88">
        <f>L61*D62</f>
        <v>0.92</v>
      </c>
      <c r="M62" s="88">
        <f>M61*D62</f>
        <v>0.97</v>
      </c>
      <c r="N62" s="29"/>
      <c r="O62" s="29"/>
      <c r="P62" s="49" t="str">
        <f>VLOOKUP(B62,'Форма КП'!$B$25:$G$47,5,FALSE)</f>
        <v>Материал заказчика</v>
      </c>
      <c r="Q62" s="50"/>
      <c r="R62" s="49" t="str">
        <f t="shared" ref="R62:R65" si="16">P62</f>
        <v>Материал заказчика</v>
      </c>
      <c r="S62" s="50"/>
    </row>
    <row r="63" spans="1:19" x14ac:dyDescent="0.25">
      <c r="A63" s="120" t="s">
        <v>144</v>
      </c>
      <c r="B63" s="116" t="s">
        <v>229</v>
      </c>
      <c r="C63" s="121" t="s">
        <v>230</v>
      </c>
      <c r="D63" s="91">
        <v>0.8</v>
      </c>
      <c r="E63" s="120" t="s">
        <v>231</v>
      </c>
      <c r="F63" s="123">
        <f t="shared" si="8"/>
        <v>360.22</v>
      </c>
      <c r="G63" s="88">
        <f>G61*D63</f>
        <v>51.21</v>
      </c>
      <c r="H63" s="88">
        <f>H61*D63</f>
        <v>52.12</v>
      </c>
      <c r="I63" s="88">
        <f>I61*D63</f>
        <v>52.05</v>
      </c>
      <c r="J63" s="88">
        <f>J61*D63</f>
        <v>52.19</v>
      </c>
      <c r="K63" s="88">
        <f>K61*D63</f>
        <v>52.04</v>
      </c>
      <c r="L63" s="88">
        <f>L61*D63</f>
        <v>48.86</v>
      </c>
      <c r="M63" s="88">
        <f>M61*D63</f>
        <v>51.75</v>
      </c>
      <c r="N63" s="29"/>
      <c r="O63" s="29"/>
      <c r="P63" s="49" t="str">
        <f>VLOOKUP(B63,'Форма КП'!$B$25:$G$47,5,FALSE)</f>
        <v>Материал заказчика</v>
      </c>
      <c r="Q63" s="50"/>
      <c r="R63" s="49" t="str">
        <f t="shared" si="16"/>
        <v>Материал заказчика</v>
      </c>
      <c r="S63" s="50"/>
    </row>
    <row r="64" spans="1:19" x14ac:dyDescent="0.25">
      <c r="A64" s="120" t="s">
        <v>145</v>
      </c>
      <c r="B64" s="116" t="s">
        <v>232</v>
      </c>
      <c r="C64" s="121" t="s">
        <v>233</v>
      </c>
      <c r="D64" s="91">
        <v>0.02</v>
      </c>
      <c r="E64" s="120" t="s">
        <v>231</v>
      </c>
      <c r="F64" s="123">
        <f t="shared" si="8"/>
        <v>8.99</v>
      </c>
      <c r="G64" s="88">
        <f>G61*D64</f>
        <v>1.28</v>
      </c>
      <c r="H64" s="88">
        <f>H61*D64</f>
        <v>1.3</v>
      </c>
      <c r="I64" s="88">
        <f>I61*D64</f>
        <v>1.3</v>
      </c>
      <c r="J64" s="88">
        <f>J61*D64</f>
        <v>1.3</v>
      </c>
      <c r="K64" s="88">
        <f>K61*D64</f>
        <v>1.3</v>
      </c>
      <c r="L64" s="88">
        <f>L61*D64</f>
        <v>1.22</v>
      </c>
      <c r="M64" s="88">
        <f>M61*D64</f>
        <v>1.29</v>
      </c>
      <c r="N64" s="29"/>
      <c r="O64" s="29"/>
      <c r="P64" s="49" t="str">
        <f>VLOOKUP(B64,'Форма КП'!$B$25:$G$47,5,FALSE)</f>
        <v>Материал заказчика</v>
      </c>
      <c r="Q64" s="50"/>
      <c r="R64" s="49" t="str">
        <f t="shared" si="16"/>
        <v>Материал заказчика</v>
      </c>
      <c r="S64" s="50"/>
    </row>
    <row r="65" spans="1:19" ht="24" x14ac:dyDescent="0.25">
      <c r="A65" s="120" t="s">
        <v>146</v>
      </c>
      <c r="B65" s="116" t="s">
        <v>253</v>
      </c>
      <c r="C65" s="121" t="s">
        <v>254</v>
      </c>
      <c r="D65" s="91">
        <v>0.11</v>
      </c>
      <c r="E65" s="120" t="s">
        <v>225</v>
      </c>
      <c r="F65" s="123">
        <f t="shared" si="8"/>
        <v>49.55</v>
      </c>
      <c r="G65" s="88">
        <f>G61*D65</f>
        <v>7.04</v>
      </c>
      <c r="H65" s="88">
        <f>H61*D65</f>
        <v>7.17</v>
      </c>
      <c r="I65" s="88">
        <f>I61*D65</f>
        <v>7.16</v>
      </c>
      <c r="J65" s="88">
        <f>J61*D65</f>
        <v>7.18</v>
      </c>
      <c r="K65" s="88">
        <f>K61*D65</f>
        <v>7.16</v>
      </c>
      <c r="L65" s="88">
        <f>L61*D65</f>
        <v>6.72</v>
      </c>
      <c r="M65" s="88">
        <f>M61*D65</f>
        <v>7.12</v>
      </c>
      <c r="N65" s="29"/>
      <c r="O65" s="29"/>
      <c r="P65" s="49" t="str">
        <f>VLOOKUP(B65,'Форма КП'!$B$25:$G$47,5,FALSE)</f>
        <v>Материал заказчика</v>
      </c>
      <c r="Q65" s="50"/>
      <c r="R65" s="49" t="str">
        <f t="shared" si="16"/>
        <v>Материал заказчика</v>
      </c>
      <c r="S65" s="50"/>
    </row>
    <row r="66" spans="1:19" x14ac:dyDescent="0.25">
      <c r="A66" s="114" t="s">
        <v>278</v>
      </c>
      <c r="B66" s="108"/>
      <c r="C66" s="109"/>
      <c r="D66" s="110"/>
      <c r="E66" s="111"/>
      <c r="F66" s="112"/>
      <c r="G66" s="113"/>
      <c r="H66" s="113"/>
      <c r="I66" s="113"/>
      <c r="J66" s="113"/>
      <c r="K66" s="113"/>
      <c r="L66" s="113"/>
      <c r="M66" s="113"/>
      <c r="N66" s="33"/>
      <c r="O66" s="33"/>
      <c r="P66" s="33"/>
      <c r="Q66" s="33"/>
      <c r="R66" s="33"/>
      <c r="S66" s="31"/>
    </row>
    <row r="67" spans="1:19" ht="180" x14ac:dyDescent="0.25">
      <c r="A67" s="115" t="s">
        <v>147</v>
      </c>
      <c r="B67" s="116" t="s">
        <v>259</v>
      </c>
      <c r="C67" s="117" t="s">
        <v>529</v>
      </c>
      <c r="D67" s="118"/>
      <c r="E67" s="115" t="s">
        <v>225</v>
      </c>
      <c r="F67" s="119">
        <f t="shared" ref="F67:F74" si="17">SUM(G67:M67)</f>
        <v>383.94</v>
      </c>
      <c r="G67" s="105">
        <v>43.3</v>
      </c>
      <c r="H67" s="105">
        <v>59.8</v>
      </c>
      <c r="I67" s="105">
        <v>59.8</v>
      </c>
      <c r="J67" s="105">
        <v>72.44</v>
      </c>
      <c r="K67" s="105">
        <v>59.8</v>
      </c>
      <c r="L67" s="105">
        <v>43.2</v>
      </c>
      <c r="M67" s="105">
        <v>45.6</v>
      </c>
      <c r="N67" s="106">
        <f>VLOOKUP(B67,'Форма КП'!$B$17:$G$23,5,FALSE)</f>
        <v>0</v>
      </c>
      <c r="O67" s="106">
        <f>N67*F67</f>
        <v>0</v>
      </c>
      <c r="P67" s="106"/>
      <c r="Q67" s="106"/>
      <c r="R67" s="106">
        <f>N67</f>
        <v>0</v>
      </c>
      <c r="S67" s="106">
        <f>N67*F67</f>
        <v>0</v>
      </c>
    </row>
    <row r="68" spans="1:19" x14ac:dyDescent="0.25">
      <c r="A68" s="120" t="s">
        <v>148</v>
      </c>
      <c r="B68" s="116" t="s">
        <v>260</v>
      </c>
      <c r="C68" s="121" t="s">
        <v>261</v>
      </c>
      <c r="D68" s="122">
        <v>5</v>
      </c>
      <c r="E68" s="120" t="s">
        <v>231</v>
      </c>
      <c r="F68" s="123">
        <f t="shared" si="17"/>
        <v>1919.7</v>
      </c>
      <c r="G68" s="88">
        <f>G67*D68</f>
        <v>216.5</v>
      </c>
      <c r="H68" s="88">
        <f>H67*D68</f>
        <v>299</v>
      </c>
      <c r="I68" s="88">
        <f>I67*D68</f>
        <v>299</v>
      </c>
      <c r="J68" s="88">
        <f>J67*D68</f>
        <v>362.2</v>
      </c>
      <c r="K68" s="88">
        <f>K67*D68</f>
        <v>299</v>
      </c>
      <c r="L68" s="88">
        <f>L67*D68</f>
        <v>216</v>
      </c>
      <c r="M68" s="88">
        <f>M67*D68</f>
        <v>228</v>
      </c>
      <c r="N68" s="29"/>
      <c r="O68" s="29"/>
      <c r="P68" s="49" t="str">
        <f>VLOOKUP(B68,'Форма КП'!$B$25:$G$47,5,FALSE)</f>
        <v>Материал заказчика</v>
      </c>
      <c r="Q68" s="50"/>
      <c r="R68" s="49" t="str">
        <f t="shared" ref="R68:R69" si="18">P68</f>
        <v>Материал заказчика</v>
      </c>
      <c r="S68" s="50"/>
    </row>
    <row r="69" spans="1:19" x14ac:dyDescent="0.25">
      <c r="A69" s="120" t="s">
        <v>149</v>
      </c>
      <c r="B69" s="116" t="s">
        <v>262</v>
      </c>
      <c r="C69" s="121" t="s">
        <v>263</v>
      </c>
      <c r="D69" s="122" t="s">
        <v>518</v>
      </c>
      <c r="E69" s="120" t="s">
        <v>225</v>
      </c>
      <c r="F69" s="123">
        <f t="shared" si="17"/>
        <v>147.72999999999999</v>
      </c>
      <c r="G69" s="88">
        <f>52.16*0.3*1.15</f>
        <v>18</v>
      </c>
      <c r="H69" s="88">
        <f>62.3*0.3*1.15</f>
        <v>21.49</v>
      </c>
      <c r="I69" s="88">
        <f>62.3*0.3*1.15</f>
        <v>21.49</v>
      </c>
      <c r="J69" s="88">
        <f>83.1*0.3*1.15</f>
        <v>28.67</v>
      </c>
      <c r="K69" s="88">
        <f>64.65*0.3*1.15</f>
        <v>22.3</v>
      </c>
      <c r="L69" s="88">
        <f>49.3*0.3*1.15</f>
        <v>17.010000000000002</v>
      </c>
      <c r="M69" s="88">
        <f>54.4*0.3*1.15</f>
        <v>18.77</v>
      </c>
      <c r="N69" s="29"/>
      <c r="O69" s="29"/>
      <c r="P69" s="49" t="str">
        <f>VLOOKUP(B69,'Форма КП'!$B$25:$G$47,5,FALSE)</f>
        <v>Материал заказчика</v>
      </c>
      <c r="Q69" s="50"/>
      <c r="R69" s="49" t="str">
        <f t="shared" si="18"/>
        <v>Материал заказчика</v>
      </c>
      <c r="S69" s="50"/>
    </row>
    <row r="70" spans="1:19" ht="168" x14ac:dyDescent="0.25">
      <c r="A70" s="115" t="s">
        <v>150</v>
      </c>
      <c r="B70" s="116" t="s">
        <v>264</v>
      </c>
      <c r="C70" s="117" t="s">
        <v>530</v>
      </c>
      <c r="D70" s="118"/>
      <c r="E70" s="115" t="s">
        <v>225</v>
      </c>
      <c r="F70" s="119">
        <f t="shared" si="17"/>
        <v>1915.42</v>
      </c>
      <c r="G70" s="105">
        <v>284</v>
      </c>
      <c r="H70" s="105">
        <v>256.95</v>
      </c>
      <c r="I70" s="105">
        <v>256.95</v>
      </c>
      <c r="J70" s="105">
        <v>316.83</v>
      </c>
      <c r="K70" s="105">
        <v>254.75</v>
      </c>
      <c r="L70" s="105">
        <v>294.74</v>
      </c>
      <c r="M70" s="105">
        <v>251.2</v>
      </c>
      <c r="N70" s="106">
        <f>VLOOKUP(B70,'Форма КП'!$B$17:$G$23,5,FALSE)</f>
        <v>0</v>
      </c>
      <c r="O70" s="106">
        <f>N70*F70</f>
        <v>0</v>
      </c>
      <c r="P70" s="106"/>
      <c r="Q70" s="106"/>
      <c r="R70" s="106">
        <f>N70</f>
        <v>0</v>
      </c>
      <c r="S70" s="106">
        <f>N70*F70</f>
        <v>0</v>
      </c>
    </row>
    <row r="71" spans="1:19" x14ac:dyDescent="0.25">
      <c r="A71" s="120" t="s">
        <v>151</v>
      </c>
      <c r="B71" s="116" t="s">
        <v>265</v>
      </c>
      <c r="C71" s="121" t="s">
        <v>266</v>
      </c>
      <c r="D71" s="91">
        <v>6.1199999999999997E-2</v>
      </c>
      <c r="E71" s="120" t="s">
        <v>267</v>
      </c>
      <c r="F71" s="125">
        <f t="shared" si="17"/>
        <v>117.223</v>
      </c>
      <c r="G71" s="89">
        <f>G70*D71</f>
        <v>17.381</v>
      </c>
      <c r="H71" s="89">
        <f>H70*D71</f>
        <v>15.725</v>
      </c>
      <c r="I71" s="89">
        <f>I70*D71</f>
        <v>15.725</v>
      </c>
      <c r="J71" s="89">
        <f>J70*D71</f>
        <v>19.39</v>
      </c>
      <c r="K71" s="89">
        <f>K70*D71</f>
        <v>15.590999999999999</v>
      </c>
      <c r="L71" s="89">
        <f>L70*D71</f>
        <v>18.038</v>
      </c>
      <c r="M71" s="89">
        <f>M70*D71</f>
        <v>15.372999999999999</v>
      </c>
      <c r="N71" s="29"/>
      <c r="O71" s="29"/>
      <c r="P71" s="86">
        <f>VLOOKUP(B71,'Форма КП'!$B$25:$G$47,5,FALSE)</f>
        <v>0</v>
      </c>
      <c r="Q71" s="86">
        <f t="shared" ref="Q71:Q74" si="19">P71*F71</f>
        <v>0</v>
      </c>
      <c r="R71" s="32">
        <f t="shared" ref="R71:R74" si="20">P71</f>
        <v>0</v>
      </c>
      <c r="S71" s="32">
        <f t="shared" ref="S71:S74" si="21">P71*F71</f>
        <v>0</v>
      </c>
    </row>
    <row r="72" spans="1:19" x14ac:dyDescent="0.25">
      <c r="A72" s="120" t="s">
        <v>152</v>
      </c>
      <c r="B72" s="116" t="s">
        <v>268</v>
      </c>
      <c r="C72" s="121" t="s">
        <v>269</v>
      </c>
      <c r="D72" s="91">
        <v>7.3440000000000005E-2</v>
      </c>
      <c r="E72" s="120" t="s">
        <v>231</v>
      </c>
      <c r="F72" s="123">
        <f t="shared" si="17"/>
        <v>140.68</v>
      </c>
      <c r="G72" s="88">
        <f>G70*D72</f>
        <v>20.86</v>
      </c>
      <c r="H72" s="88">
        <f>H70*D72</f>
        <v>18.87</v>
      </c>
      <c r="I72" s="88">
        <f>I70*D72</f>
        <v>18.87</v>
      </c>
      <c r="J72" s="88">
        <f>J70*D72</f>
        <v>23.27</v>
      </c>
      <c r="K72" s="88">
        <f>K70*D72</f>
        <v>18.71</v>
      </c>
      <c r="L72" s="88">
        <f>L70*D72</f>
        <v>21.65</v>
      </c>
      <c r="M72" s="88">
        <f>M70*D72</f>
        <v>18.45</v>
      </c>
      <c r="N72" s="29"/>
      <c r="O72" s="29"/>
      <c r="P72" s="86">
        <f>VLOOKUP(B72,'Форма КП'!$B$25:$G$47,5,FALSE)</f>
        <v>0</v>
      </c>
      <c r="Q72" s="86">
        <f t="shared" si="19"/>
        <v>0</v>
      </c>
      <c r="R72" s="32">
        <f t="shared" si="20"/>
        <v>0</v>
      </c>
      <c r="S72" s="32">
        <f t="shared" si="21"/>
        <v>0</v>
      </c>
    </row>
    <row r="73" spans="1:19" ht="36" x14ac:dyDescent="0.25">
      <c r="A73" s="120" t="s">
        <v>153</v>
      </c>
      <c r="B73" s="116" t="s">
        <v>270</v>
      </c>
      <c r="C73" s="121" t="s">
        <v>271</v>
      </c>
      <c r="D73" s="91" t="s">
        <v>518</v>
      </c>
      <c r="E73" s="120" t="s">
        <v>6</v>
      </c>
      <c r="F73" s="123">
        <f t="shared" si="17"/>
        <v>1638.56</v>
      </c>
      <c r="G73" s="88">
        <f>193.7*1.1</f>
        <v>213.07</v>
      </c>
      <c r="H73" s="88">
        <f>189*1.1</f>
        <v>207.9</v>
      </c>
      <c r="I73" s="88">
        <f>189*1.1</f>
        <v>207.9</v>
      </c>
      <c r="J73" s="88">
        <f>266.7*1.1</f>
        <v>293.37</v>
      </c>
      <c r="K73" s="88">
        <f>188.8*1.1</f>
        <v>207.68</v>
      </c>
      <c r="L73" s="88">
        <f>266*1.1</f>
        <v>292.60000000000002</v>
      </c>
      <c r="M73" s="88">
        <f>196.4*1.1</f>
        <v>216.04</v>
      </c>
      <c r="N73" s="29"/>
      <c r="O73" s="29"/>
      <c r="P73" s="86">
        <f>VLOOKUP(B73,'Форма КП'!$B$25:$G$47,5,FALSE)</f>
        <v>0</v>
      </c>
      <c r="Q73" s="86">
        <f t="shared" si="19"/>
        <v>0</v>
      </c>
      <c r="R73" s="32">
        <f t="shared" si="20"/>
        <v>0</v>
      </c>
      <c r="S73" s="32">
        <f t="shared" si="21"/>
        <v>0</v>
      </c>
    </row>
    <row r="74" spans="1:19" x14ac:dyDescent="0.25">
      <c r="A74" s="120" t="s">
        <v>154</v>
      </c>
      <c r="B74" s="116" t="s">
        <v>272</v>
      </c>
      <c r="C74" s="121" t="s">
        <v>273</v>
      </c>
      <c r="D74" s="91">
        <v>1.1499999999999999</v>
      </c>
      <c r="E74" s="120" t="s">
        <v>225</v>
      </c>
      <c r="F74" s="123">
        <f t="shared" si="17"/>
        <v>1761.2</v>
      </c>
      <c r="G74" s="88">
        <f>(G70-G67)*D74</f>
        <v>276.81</v>
      </c>
      <c r="H74" s="88">
        <f>(H70-H67)*D74</f>
        <v>226.72</v>
      </c>
      <c r="I74" s="88">
        <f>(I70-I67)*D74</f>
        <v>226.72</v>
      </c>
      <c r="J74" s="88">
        <f>(J70-J67)*D74</f>
        <v>281.05</v>
      </c>
      <c r="K74" s="88">
        <f>(K70-K67)*D74</f>
        <v>224.19</v>
      </c>
      <c r="L74" s="88">
        <f>(L70-L67)*D74</f>
        <v>289.27</v>
      </c>
      <c r="M74" s="88">
        <f>(M70-M67)*D74</f>
        <v>236.44</v>
      </c>
      <c r="N74" s="29"/>
      <c r="O74" s="29"/>
      <c r="P74" s="86">
        <f>VLOOKUP(B74,'Форма КП'!$B$25:$G$47,5,FALSE)</f>
        <v>0</v>
      </c>
      <c r="Q74" s="86">
        <f t="shared" si="19"/>
        <v>0</v>
      </c>
      <c r="R74" s="32">
        <f t="shared" si="20"/>
        <v>0</v>
      </c>
      <c r="S74" s="32">
        <f t="shared" si="21"/>
        <v>0</v>
      </c>
    </row>
    <row r="75" spans="1:19" x14ac:dyDescent="0.25">
      <c r="A75" s="107" t="s">
        <v>279</v>
      </c>
      <c r="B75" s="108"/>
      <c r="C75" s="109"/>
      <c r="D75" s="110"/>
      <c r="E75" s="111"/>
      <c r="F75" s="112"/>
      <c r="G75" s="113"/>
      <c r="H75" s="113"/>
      <c r="I75" s="113"/>
      <c r="J75" s="113"/>
      <c r="K75" s="113"/>
      <c r="L75" s="113"/>
      <c r="M75" s="113"/>
      <c r="N75" s="33"/>
      <c r="O75" s="33"/>
      <c r="P75" s="33"/>
      <c r="Q75" s="33"/>
      <c r="R75" s="33"/>
      <c r="S75" s="31"/>
    </row>
    <row r="76" spans="1:19" x14ac:dyDescent="0.25">
      <c r="A76" s="114" t="s">
        <v>223</v>
      </c>
      <c r="B76" s="108"/>
      <c r="C76" s="109"/>
      <c r="D76" s="110"/>
      <c r="E76" s="111"/>
      <c r="F76" s="112"/>
      <c r="G76" s="113"/>
      <c r="H76" s="113"/>
      <c r="I76" s="113"/>
      <c r="J76" s="113"/>
      <c r="K76" s="113"/>
      <c r="L76" s="113"/>
      <c r="M76" s="113"/>
      <c r="N76" s="33"/>
      <c r="O76" s="33"/>
      <c r="P76" s="33"/>
      <c r="Q76" s="33"/>
      <c r="R76" s="33"/>
      <c r="S76" s="31"/>
    </row>
    <row r="77" spans="1:19" ht="168" x14ac:dyDescent="0.25">
      <c r="A77" s="115" t="s">
        <v>155</v>
      </c>
      <c r="B77" s="116" t="s">
        <v>264</v>
      </c>
      <c r="C77" s="117" t="s">
        <v>530</v>
      </c>
      <c r="D77" s="118"/>
      <c r="E77" s="115" t="s">
        <v>225</v>
      </c>
      <c r="F77" s="119">
        <f t="shared" ref="F77:F90" si="22">SUM(G77:M77)</f>
        <v>359.27</v>
      </c>
      <c r="G77" s="105">
        <v>68.44</v>
      </c>
      <c r="H77" s="105">
        <v>43.48</v>
      </c>
      <c r="I77" s="105">
        <v>43.52</v>
      </c>
      <c r="J77" s="105">
        <v>58.02</v>
      </c>
      <c r="K77" s="105">
        <v>43.39</v>
      </c>
      <c r="L77" s="105">
        <v>59.05</v>
      </c>
      <c r="M77" s="105">
        <v>43.37</v>
      </c>
      <c r="N77" s="106">
        <f>VLOOKUP(B77,'Форма КП'!$B$17:$G$23,5,FALSE)</f>
        <v>0</v>
      </c>
      <c r="O77" s="106">
        <f>N77*F77</f>
        <v>0</v>
      </c>
      <c r="P77" s="106"/>
      <c r="Q77" s="106"/>
      <c r="R77" s="106">
        <f>N77</f>
        <v>0</v>
      </c>
      <c r="S77" s="106">
        <f>N77*F77</f>
        <v>0</v>
      </c>
    </row>
    <row r="78" spans="1:19" x14ac:dyDescent="0.25">
      <c r="A78" s="120" t="s">
        <v>156</v>
      </c>
      <c r="B78" s="116" t="s">
        <v>265</v>
      </c>
      <c r="C78" s="121" t="s">
        <v>266</v>
      </c>
      <c r="D78" s="91">
        <v>6.1199999999999997E-2</v>
      </c>
      <c r="E78" s="120" t="s">
        <v>267</v>
      </c>
      <c r="F78" s="125">
        <f t="shared" si="22"/>
        <v>21.986999999999998</v>
      </c>
      <c r="G78" s="89">
        <f>G77*D78</f>
        <v>4.1890000000000001</v>
      </c>
      <c r="H78" s="89">
        <f>H77*D78</f>
        <v>2.661</v>
      </c>
      <c r="I78" s="89">
        <f>I77*D78</f>
        <v>2.6629999999999998</v>
      </c>
      <c r="J78" s="89">
        <f>J77*D78</f>
        <v>3.5510000000000002</v>
      </c>
      <c r="K78" s="89">
        <f>K77*D78</f>
        <v>2.6549999999999998</v>
      </c>
      <c r="L78" s="89">
        <f>L77*D78</f>
        <v>3.6139999999999999</v>
      </c>
      <c r="M78" s="89">
        <f>M77*D78</f>
        <v>2.6539999999999999</v>
      </c>
      <c r="N78" s="29"/>
      <c r="O78" s="29"/>
      <c r="P78" s="86">
        <f>VLOOKUP(B78,'Форма КП'!$B$25:$G$47,5,FALSE)</f>
        <v>0</v>
      </c>
      <c r="Q78" s="86">
        <f t="shared" ref="Q78:Q80" si="23">P78*F78</f>
        <v>0</v>
      </c>
      <c r="R78" s="32">
        <f t="shared" ref="R78:R80" si="24">P78</f>
        <v>0</v>
      </c>
      <c r="S78" s="32">
        <f t="shared" ref="S78:S80" si="25">P78*F78</f>
        <v>0</v>
      </c>
    </row>
    <row r="79" spans="1:19" x14ac:dyDescent="0.25">
      <c r="A79" s="120" t="s">
        <v>157</v>
      </c>
      <c r="B79" s="116" t="s">
        <v>268</v>
      </c>
      <c r="C79" s="121" t="s">
        <v>269</v>
      </c>
      <c r="D79" s="91">
        <v>7.3440000000000005E-2</v>
      </c>
      <c r="E79" s="120" t="s">
        <v>231</v>
      </c>
      <c r="F79" s="123">
        <f t="shared" si="22"/>
        <v>26.4</v>
      </c>
      <c r="G79" s="88">
        <f>G77*D79</f>
        <v>5.03</v>
      </c>
      <c r="H79" s="88">
        <f>H77*D79</f>
        <v>3.19</v>
      </c>
      <c r="I79" s="88">
        <f>I77*D79</f>
        <v>3.2</v>
      </c>
      <c r="J79" s="88">
        <f>J77*D79</f>
        <v>4.26</v>
      </c>
      <c r="K79" s="88">
        <f>K77*D79</f>
        <v>3.19</v>
      </c>
      <c r="L79" s="88">
        <f>L77*D79</f>
        <v>4.34</v>
      </c>
      <c r="M79" s="88">
        <f>M77*D79</f>
        <v>3.19</v>
      </c>
      <c r="N79" s="29"/>
      <c r="O79" s="29"/>
      <c r="P79" s="86">
        <f>VLOOKUP(B79,'Форма КП'!$B$25:$G$47,5,FALSE)</f>
        <v>0</v>
      </c>
      <c r="Q79" s="86">
        <f t="shared" si="23"/>
        <v>0</v>
      </c>
      <c r="R79" s="32">
        <f t="shared" si="24"/>
        <v>0</v>
      </c>
      <c r="S79" s="32">
        <f t="shared" si="25"/>
        <v>0</v>
      </c>
    </row>
    <row r="80" spans="1:19" ht="36" x14ac:dyDescent="0.25">
      <c r="A80" s="120" t="s">
        <v>158</v>
      </c>
      <c r="B80" s="116" t="s">
        <v>270</v>
      </c>
      <c r="C80" s="121" t="s">
        <v>271</v>
      </c>
      <c r="D80" s="91" t="s">
        <v>518</v>
      </c>
      <c r="E80" s="120" t="s">
        <v>6</v>
      </c>
      <c r="F80" s="123">
        <f t="shared" si="22"/>
        <v>486.17</v>
      </c>
      <c r="G80" s="90">
        <f>(95.43-8.39)*1.1</f>
        <v>95.74</v>
      </c>
      <c r="H80" s="90">
        <f>(58.9-7.4)*1.1</f>
        <v>56.65</v>
      </c>
      <c r="I80" s="90">
        <f>(58.98-7.4)*1.1</f>
        <v>56.74</v>
      </c>
      <c r="J80" s="90">
        <f>(81.65-6.4)*1.1</f>
        <v>82.78</v>
      </c>
      <c r="K80" s="90">
        <f>(58.98-7.4)*1.1</f>
        <v>56.74</v>
      </c>
      <c r="L80" s="90">
        <f>(80.84-7.4)*1.1</f>
        <v>80.78</v>
      </c>
      <c r="M80" s="90">
        <f>(58.98-7.4)*1.1</f>
        <v>56.74</v>
      </c>
      <c r="N80" s="29"/>
      <c r="O80" s="29"/>
      <c r="P80" s="86">
        <f>VLOOKUP(B80,'Форма КП'!$B$25:$G$47,5,FALSE)</f>
        <v>0</v>
      </c>
      <c r="Q80" s="86">
        <f t="shared" si="23"/>
        <v>0</v>
      </c>
      <c r="R80" s="32">
        <f t="shared" si="24"/>
        <v>0</v>
      </c>
      <c r="S80" s="32">
        <f t="shared" si="25"/>
        <v>0</v>
      </c>
    </row>
    <row r="81" spans="1:19" ht="156" x14ac:dyDescent="0.25">
      <c r="A81" s="115" t="s">
        <v>159</v>
      </c>
      <c r="B81" s="116" t="s">
        <v>224</v>
      </c>
      <c r="C81" s="117" t="s">
        <v>525</v>
      </c>
      <c r="D81" s="118"/>
      <c r="E81" s="115" t="s">
        <v>225</v>
      </c>
      <c r="F81" s="119">
        <f t="shared" si="22"/>
        <v>330.45</v>
      </c>
      <c r="G81" s="105">
        <v>56.34</v>
      </c>
      <c r="H81" s="105">
        <v>43.25</v>
      </c>
      <c r="I81" s="105">
        <v>43.24</v>
      </c>
      <c r="J81" s="105">
        <v>50.72</v>
      </c>
      <c r="K81" s="105">
        <v>43.11</v>
      </c>
      <c r="L81" s="105">
        <v>50.7</v>
      </c>
      <c r="M81" s="105">
        <v>43.09</v>
      </c>
      <c r="N81" s="106">
        <f>VLOOKUP(B81,'Форма КП'!$B$17:$G$23,5,FALSE)</f>
        <v>0</v>
      </c>
      <c r="O81" s="106">
        <f>N81*F81</f>
        <v>0</v>
      </c>
      <c r="P81" s="106"/>
      <c r="Q81" s="106"/>
      <c r="R81" s="106">
        <f>N81</f>
        <v>0</v>
      </c>
      <c r="S81" s="106">
        <f>N81*F81</f>
        <v>0</v>
      </c>
    </row>
    <row r="82" spans="1:19" x14ac:dyDescent="0.25">
      <c r="A82" s="120" t="s">
        <v>160</v>
      </c>
      <c r="B82" s="116" t="s">
        <v>226</v>
      </c>
      <c r="C82" s="121" t="s">
        <v>227</v>
      </c>
      <c r="D82" s="91">
        <v>0.15</v>
      </c>
      <c r="E82" s="120" t="s">
        <v>228</v>
      </c>
      <c r="F82" s="123">
        <f t="shared" si="22"/>
        <v>49.58</v>
      </c>
      <c r="G82" s="88">
        <f>G81*D82</f>
        <v>8.4499999999999993</v>
      </c>
      <c r="H82" s="88">
        <f>H81*D82</f>
        <v>6.49</v>
      </c>
      <c r="I82" s="88">
        <f>I81*D82</f>
        <v>6.49</v>
      </c>
      <c r="J82" s="88">
        <f>J81*D82</f>
        <v>7.61</v>
      </c>
      <c r="K82" s="88">
        <f>K81*D82</f>
        <v>6.47</v>
      </c>
      <c r="L82" s="88">
        <f>L81*D82</f>
        <v>7.61</v>
      </c>
      <c r="M82" s="88">
        <f>M81*D82</f>
        <v>6.46</v>
      </c>
      <c r="N82" s="29"/>
      <c r="O82" s="29"/>
      <c r="P82" s="49" t="str">
        <f>VLOOKUP(B82,'Форма КП'!$B$25:$G$47,5,FALSE)</f>
        <v>Материал заказчика</v>
      </c>
      <c r="Q82" s="50"/>
      <c r="R82" s="49" t="str">
        <f t="shared" ref="R82:R85" si="26">P82</f>
        <v>Материал заказчика</v>
      </c>
      <c r="S82" s="50"/>
    </row>
    <row r="83" spans="1:19" x14ac:dyDescent="0.25">
      <c r="A83" s="120" t="s">
        <v>161</v>
      </c>
      <c r="B83" s="116" t="s">
        <v>229</v>
      </c>
      <c r="C83" s="121" t="s">
        <v>230</v>
      </c>
      <c r="D83" s="91">
        <v>8</v>
      </c>
      <c r="E83" s="120" t="s">
        <v>231</v>
      </c>
      <c r="F83" s="123">
        <f t="shared" si="22"/>
        <v>2643.6</v>
      </c>
      <c r="G83" s="88">
        <f>G81*D83</f>
        <v>450.72</v>
      </c>
      <c r="H83" s="88">
        <f>H81*D83</f>
        <v>346</v>
      </c>
      <c r="I83" s="88">
        <f>I81*D83</f>
        <v>345.92</v>
      </c>
      <c r="J83" s="88">
        <f>J81*D83</f>
        <v>405.76</v>
      </c>
      <c r="K83" s="88">
        <f>K81*D83</f>
        <v>344.88</v>
      </c>
      <c r="L83" s="88">
        <f>L81*D83</f>
        <v>405.6</v>
      </c>
      <c r="M83" s="88">
        <f>M81*D83</f>
        <v>344.72</v>
      </c>
      <c r="N83" s="29"/>
      <c r="O83" s="29"/>
      <c r="P83" s="49" t="str">
        <f>VLOOKUP(B83,'Форма КП'!$B$25:$G$47,5,FALSE)</f>
        <v>Материал заказчика</v>
      </c>
      <c r="Q83" s="50"/>
      <c r="R83" s="49" t="str">
        <f t="shared" si="26"/>
        <v>Материал заказчика</v>
      </c>
      <c r="S83" s="50"/>
    </row>
    <row r="84" spans="1:19" x14ac:dyDescent="0.25">
      <c r="A84" s="120" t="s">
        <v>162</v>
      </c>
      <c r="B84" s="116" t="s">
        <v>232</v>
      </c>
      <c r="C84" s="121" t="s">
        <v>233</v>
      </c>
      <c r="D84" s="91">
        <v>0.2</v>
      </c>
      <c r="E84" s="120" t="s">
        <v>231</v>
      </c>
      <c r="F84" s="123">
        <f t="shared" si="22"/>
        <v>66.09</v>
      </c>
      <c r="G84" s="88">
        <f>G81*D84</f>
        <v>11.27</v>
      </c>
      <c r="H84" s="88">
        <f>H81*D84</f>
        <v>8.65</v>
      </c>
      <c r="I84" s="88">
        <f>I81*D84</f>
        <v>8.65</v>
      </c>
      <c r="J84" s="88">
        <f>J81*D84</f>
        <v>10.14</v>
      </c>
      <c r="K84" s="88">
        <f>K81*D84</f>
        <v>8.6199999999999992</v>
      </c>
      <c r="L84" s="88">
        <f>L81*D84</f>
        <v>10.14</v>
      </c>
      <c r="M84" s="88">
        <f>M81*D84</f>
        <v>8.6199999999999992</v>
      </c>
      <c r="N84" s="29"/>
      <c r="O84" s="29"/>
      <c r="P84" s="49" t="str">
        <f>VLOOKUP(B84,'Форма КП'!$B$25:$G$47,5,FALSE)</f>
        <v>Материал заказчика</v>
      </c>
      <c r="Q84" s="50"/>
      <c r="R84" s="49" t="str">
        <f t="shared" si="26"/>
        <v>Материал заказчика</v>
      </c>
      <c r="S84" s="50"/>
    </row>
    <row r="85" spans="1:19" x14ac:dyDescent="0.25">
      <c r="A85" s="120" t="s">
        <v>163</v>
      </c>
      <c r="B85" s="116" t="s">
        <v>276</v>
      </c>
      <c r="C85" s="121" t="s">
        <v>277</v>
      </c>
      <c r="D85" s="91">
        <v>1.05</v>
      </c>
      <c r="E85" s="120" t="s">
        <v>225</v>
      </c>
      <c r="F85" s="123">
        <f t="shared" si="22"/>
        <v>346.98</v>
      </c>
      <c r="G85" s="88">
        <f>G81*D85</f>
        <v>59.16</v>
      </c>
      <c r="H85" s="88">
        <f>H81*D85</f>
        <v>45.41</v>
      </c>
      <c r="I85" s="88">
        <f>I81*D85</f>
        <v>45.4</v>
      </c>
      <c r="J85" s="88">
        <f>J81*D85</f>
        <v>53.26</v>
      </c>
      <c r="K85" s="88">
        <f>K81*D85</f>
        <v>45.27</v>
      </c>
      <c r="L85" s="88">
        <f>L81*D85</f>
        <v>53.24</v>
      </c>
      <c r="M85" s="88">
        <f>M81*D85</f>
        <v>45.24</v>
      </c>
      <c r="N85" s="29"/>
      <c r="O85" s="29"/>
      <c r="P85" s="49" t="str">
        <f>VLOOKUP(B85,'Форма КП'!$B$25:$G$47,5,FALSE)</f>
        <v>Материал заказчика</v>
      </c>
      <c r="Q85" s="50"/>
      <c r="R85" s="49" t="str">
        <f t="shared" si="26"/>
        <v>Материал заказчика</v>
      </c>
      <c r="S85" s="50"/>
    </row>
    <row r="86" spans="1:19" ht="168" x14ac:dyDescent="0.25">
      <c r="A86" s="115" t="s">
        <v>164</v>
      </c>
      <c r="B86" s="116" t="s">
        <v>251</v>
      </c>
      <c r="C86" s="117" t="s">
        <v>527</v>
      </c>
      <c r="D86" s="118"/>
      <c r="E86" s="115" t="s">
        <v>6</v>
      </c>
      <c r="F86" s="119">
        <f t="shared" si="22"/>
        <v>335.67</v>
      </c>
      <c r="G86" s="105">
        <v>55.77</v>
      </c>
      <c r="H86" s="105">
        <v>44.58</v>
      </c>
      <c r="I86" s="105">
        <v>44.58</v>
      </c>
      <c r="J86" s="105">
        <v>50.74</v>
      </c>
      <c r="K86" s="105">
        <v>44.49</v>
      </c>
      <c r="L86" s="105">
        <v>51.01</v>
      </c>
      <c r="M86" s="105">
        <v>44.5</v>
      </c>
      <c r="N86" s="106">
        <f>VLOOKUP(B86,'Форма КП'!$B$17:$G$23,5,FALSE)</f>
        <v>0</v>
      </c>
      <c r="O86" s="106">
        <f>N86*F86</f>
        <v>0</v>
      </c>
      <c r="P86" s="106"/>
      <c r="Q86" s="106"/>
      <c r="R86" s="106">
        <f>N86</f>
        <v>0</v>
      </c>
      <c r="S86" s="106">
        <f>N86*F86</f>
        <v>0</v>
      </c>
    </row>
    <row r="87" spans="1:19" x14ac:dyDescent="0.25">
      <c r="A87" s="120" t="s">
        <v>165</v>
      </c>
      <c r="B87" s="116" t="s">
        <v>252</v>
      </c>
      <c r="C87" s="121" t="s">
        <v>227</v>
      </c>
      <c r="D87" s="91">
        <v>1.4999999999999999E-2</v>
      </c>
      <c r="E87" s="120" t="s">
        <v>231</v>
      </c>
      <c r="F87" s="123">
        <f t="shared" si="22"/>
        <v>5.05</v>
      </c>
      <c r="G87" s="88">
        <f>G86*D87</f>
        <v>0.84</v>
      </c>
      <c r="H87" s="88">
        <f>H86*D87</f>
        <v>0.67</v>
      </c>
      <c r="I87" s="88">
        <f>I86*D87</f>
        <v>0.67</v>
      </c>
      <c r="J87" s="88">
        <f>J86*D87</f>
        <v>0.76</v>
      </c>
      <c r="K87" s="88">
        <f>K86*D87</f>
        <v>0.67</v>
      </c>
      <c r="L87" s="88">
        <f>L86*D87</f>
        <v>0.77</v>
      </c>
      <c r="M87" s="88">
        <f>M86*D87</f>
        <v>0.67</v>
      </c>
      <c r="N87" s="29"/>
      <c r="O87" s="29"/>
      <c r="P87" s="49" t="str">
        <f>VLOOKUP(B87,'Форма КП'!$B$25:$G$47,5,FALSE)</f>
        <v>Материал заказчика</v>
      </c>
      <c r="Q87" s="50"/>
      <c r="R87" s="49" t="str">
        <f t="shared" ref="R87:R90" si="27">P87</f>
        <v>Материал заказчика</v>
      </c>
      <c r="S87" s="50"/>
    </row>
    <row r="88" spans="1:19" x14ac:dyDescent="0.25">
      <c r="A88" s="120" t="s">
        <v>166</v>
      </c>
      <c r="B88" s="116" t="s">
        <v>229</v>
      </c>
      <c r="C88" s="121" t="s">
        <v>230</v>
      </c>
      <c r="D88" s="91">
        <v>0.8</v>
      </c>
      <c r="E88" s="120" t="s">
        <v>231</v>
      </c>
      <c r="F88" s="123">
        <f t="shared" si="22"/>
        <v>268.52999999999997</v>
      </c>
      <c r="G88" s="88">
        <f>G86*D88</f>
        <v>44.62</v>
      </c>
      <c r="H88" s="88">
        <f>H86*D88</f>
        <v>35.659999999999997</v>
      </c>
      <c r="I88" s="88">
        <f>I86*D88</f>
        <v>35.659999999999997</v>
      </c>
      <c r="J88" s="88">
        <f>J86*D88</f>
        <v>40.590000000000003</v>
      </c>
      <c r="K88" s="88">
        <f>K86*D88</f>
        <v>35.590000000000003</v>
      </c>
      <c r="L88" s="88">
        <f>L86*D88</f>
        <v>40.81</v>
      </c>
      <c r="M88" s="88">
        <f>M86*D88</f>
        <v>35.6</v>
      </c>
      <c r="N88" s="29"/>
      <c r="O88" s="29"/>
      <c r="P88" s="49" t="str">
        <f>VLOOKUP(B88,'Форма КП'!$B$25:$G$47,5,FALSE)</f>
        <v>Материал заказчика</v>
      </c>
      <c r="Q88" s="50"/>
      <c r="R88" s="49" t="str">
        <f t="shared" si="27"/>
        <v>Материал заказчика</v>
      </c>
      <c r="S88" s="50"/>
    </row>
    <row r="89" spans="1:19" x14ac:dyDescent="0.25">
      <c r="A89" s="120" t="s">
        <v>167</v>
      </c>
      <c r="B89" s="116" t="s">
        <v>232</v>
      </c>
      <c r="C89" s="121" t="s">
        <v>233</v>
      </c>
      <c r="D89" s="91">
        <v>0.02</v>
      </c>
      <c r="E89" s="120" t="s">
        <v>231</v>
      </c>
      <c r="F89" s="123">
        <f t="shared" si="22"/>
        <v>6.71</v>
      </c>
      <c r="G89" s="88">
        <f>G86*D89</f>
        <v>1.1200000000000001</v>
      </c>
      <c r="H89" s="88">
        <f>H86*D89</f>
        <v>0.89</v>
      </c>
      <c r="I89" s="88">
        <f>I86*D89</f>
        <v>0.89</v>
      </c>
      <c r="J89" s="88">
        <f>J86*D89</f>
        <v>1.01</v>
      </c>
      <c r="K89" s="88">
        <f>K86*D89</f>
        <v>0.89</v>
      </c>
      <c r="L89" s="88">
        <f>L86*D89</f>
        <v>1.02</v>
      </c>
      <c r="M89" s="88">
        <f>M86*D89</f>
        <v>0.89</v>
      </c>
      <c r="N89" s="29"/>
      <c r="O89" s="29"/>
      <c r="P89" s="49" t="str">
        <f>VLOOKUP(B89,'Форма КП'!$B$25:$G$47,5,FALSE)</f>
        <v>Материал заказчика</v>
      </c>
      <c r="Q89" s="50"/>
      <c r="R89" s="49" t="str">
        <f t="shared" si="27"/>
        <v>Материал заказчика</v>
      </c>
      <c r="S89" s="50"/>
    </row>
    <row r="90" spans="1:19" ht="24" x14ac:dyDescent="0.25">
      <c r="A90" s="120" t="s">
        <v>168</v>
      </c>
      <c r="B90" s="116" t="s">
        <v>253</v>
      </c>
      <c r="C90" s="121" t="s">
        <v>254</v>
      </c>
      <c r="D90" s="91">
        <v>0.11</v>
      </c>
      <c r="E90" s="120" t="s">
        <v>225</v>
      </c>
      <c r="F90" s="123">
        <f t="shared" si="22"/>
        <v>36.909999999999997</v>
      </c>
      <c r="G90" s="88">
        <f>G86*D90</f>
        <v>6.13</v>
      </c>
      <c r="H90" s="88">
        <f>H86*D90</f>
        <v>4.9000000000000004</v>
      </c>
      <c r="I90" s="88">
        <f>I86*D90</f>
        <v>4.9000000000000004</v>
      </c>
      <c r="J90" s="88">
        <f>J86*D90</f>
        <v>5.58</v>
      </c>
      <c r="K90" s="88">
        <f>K86*D90</f>
        <v>4.8899999999999997</v>
      </c>
      <c r="L90" s="88">
        <f>L86*D90</f>
        <v>5.61</v>
      </c>
      <c r="M90" s="88">
        <f>M86*D90</f>
        <v>4.9000000000000004</v>
      </c>
      <c r="N90" s="29"/>
      <c r="O90" s="29"/>
      <c r="P90" s="49" t="str">
        <f>VLOOKUP(B90,'Форма КП'!$B$25:$G$47,5,FALSE)</f>
        <v>Материал заказчика</v>
      </c>
      <c r="Q90" s="50"/>
      <c r="R90" s="49" t="str">
        <f t="shared" si="27"/>
        <v>Материал заказчика</v>
      </c>
      <c r="S90" s="50"/>
    </row>
    <row r="91" spans="1:19" x14ac:dyDescent="0.25">
      <c r="A91" s="114" t="s">
        <v>278</v>
      </c>
      <c r="B91" s="108"/>
      <c r="C91" s="109"/>
      <c r="D91" s="110"/>
      <c r="E91" s="111"/>
      <c r="F91" s="112"/>
      <c r="G91" s="113"/>
      <c r="H91" s="113"/>
      <c r="I91" s="113"/>
      <c r="J91" s="113"/>
      <c r="K91" s="113"/>
      <c r="L91" s="113"/>
      <c r="M91" s="113"/>
      <c r="N91" s="33"/>
      <c r="O91" s="33"/>
      <c r="P91" s="33"/>
      <c r="Q91" s="33"/>
      <c r="R91" s="33"/>
      <c r="S91" s="31"/>
    </row>
    <row r="92" spans="1:19" ht="180" x14ac:dyDescent="0.25">
      <c r="A92" s="115" t="s">
        <v>169</v>
      </c>
      <c r="B92" s="116" t="s">
        <v>259</v>
      </c>
      <c r="C92" s="117" t="s">
        <v>529</v>
      </c>
      <c r="D92" s="118"/>
      <c r="E92" s="115" t="s">
        <v>225</v>
      </c>
      <c r="F92" s="119">
        <f t="shared" ref="F92:F101" si="28">SUM(G92:M92)</f>
        <v>329.16</v>
      </c>
      <c r="G92" s="105">
        <v>45.54</v>
      </c>
      <c r="H92" s="105">
        <v>48.5</v>
      </c>
      <c r="I92" s="105">
        <v>48.5</v>
      </c>
      <c r="J92" s="105">
        <v>48.86</v>
      </c>
      <c r="K92" s="105">
        <v>48.5</v>
      </c>
      <c r="L92" s="105">
        <v>45.8</v>
      </c>
      <c r="M92" s="105">
        <v>43.46</v>
      </c>
      <c r="N92" s="106">
        <f>VLOOKUP(B92,'Форма КП'!$B$17:$G$23,5,FALSE)</f>
        <v>0</v>
      </c>
      <c r="O92" s="106">
        <f>N92*F92</f>
        <v>0</v>
      </c>
      <c r="P92" s="106"/>
      <c r="Q92" s="106"/>
      <c r="R92" s="106">
        <f>N92</f>
        <v>0</v>
      </c>
      <c r="S92" s="106">
        <f>N92*F92</f>
        <v>0</v>
      </c>
    </row>
    <row r="93" spans="1:19" x14ac:dyDescent="0.25">
      <c r="A93" s="120" t="s">
        <v>170</v>
      </c>
      <c r="B93" s="116" t="s">
        <v>260</v>
      </c>
      <c r="C93" s="121" t="s">
        <v>261</v>
      </c>
      <c r="D93" s="122">
        <v>5</v>
      </c>
      <c r="E93" s="120" t="s">
        <v>231</v>
      </c>
      <c r="F93" s="123">
        <f t="shared" si="28"/>
        <v>1645.8</v>
      </c>
      <c r="G93" s="88">
        <f>G92*D93</f>
        <v>227.7</v>
      </c>
      <c r="H93" s="88">
        <f>H92*D93</f>
        <v>242.5</v>
      </c>
      <c r="I93" s="88">
        <f>I92*D93</f>
        <v>242.5</v>
      </c>
      <c r="J93" s="88">
        <f>J92*D93</f>
        <v>244.3</v>
      </c>
      <c r="K93" s="88">
        <f>K92*D93</f>
        <v>242.5</v>
      </c>
      <c r="L93" s="88">
        <f>L92*D93</f>
        <v>229</v>
      </c>
      <c r="M93" s="88">
        <f>M92*D93</f>
        <v>217.3</v>
      </c>
      <c r="N93" s="29"/>
      <c r="O93" s="29"/>
      <c r="P93" s="49" t="str">
        <f>VLOOKUP(B93,'Форма КП'!$B$25:$G$47,5,FALSE)</f>
        <v>Материал заказчика</v>
      </c>
      <c r="Q93" s="50"/>
      <c r="R93" s="49" t="str">
        <f t="shared" ref="R93:R94" si="29">P93</f>
        <v>Материал заказчика</v>
      </c>
      <c r="S93" s="50"/>
    </row>
    <row r="94" spans="1:19" x14ac:dyDescent="0.25">
      <c r="A94" s="120" t="s">
        <v>171</v>
      </c>
      <c r="B94" s="116" t="s">
        <v>262</v>
      </c>
      <c r="C94" s="121" t="s">
        <v>263</v>
      </c>
      <c r="D94" s="122" t="s">
        <v>518</v>
      </c>
      <c r="E94" s="120" t="s">
        <v>225</v>
      </c>
      <c r="F94" s="123">
        <f t="shared" si="28"/>
        <v>130.08000000000001</v>
      </c>
      <c r="G94" s="88">
        <f>54.02*0.3*1.15</f>
        <v>18.64</v>
      </c>
      <c r="H94" s="88">
        <f>53.51*0.3*1.15</f>
        <v>18.46</v>
      </c>
      <c r="I94" s="88">
        <f>53.51*0.3*1.15</f>
        <v>18.46</v>
      </c>
      <c r="J94" s="88">
        <f>58*0.3*1.15</f>
        <v>20.010000000000002</v>
      </c>
      <c r="K94" s="88">
        <f>53.51*0.3*1.15</f>
        <v>18.46</v>
      </c>
      <c r="L94" s="88">
        <f>54.3*0.3*1.15</f>
        <v>18.73</v>
      </c>
      <c r="M94" s="88">
        <f>50.2*0.3*1.15</f>
        <v>17.32</v>
      </c>
      <c r="N94" s="29"/>
      <c r="O94" s="29"/>
      <c r="P94" s="49" t="str">
        <f>VLOOKUP(B94,'Форма КП'!$B$25:$G$47,5,FALSE)</f>
        <v>Материал заказчика</v>
      </c>
      <c r="Q94" s="50"/>
      <c r="R94" s="49" t="str">
        <f t="shared" si="29"/>
        <v>Материал заказчика</v>
      </c>
      <c r="S94" s="50"/>
    </row>
    <row r="95" spans="1:19" ht="144" x14ac:dyDescent="0.25">
      <c r="A95" s="115" t="s">
        <v>172</v>
      </c>
      <c r="B95" s="116" t="s">
        <v>280</v>
      </c>
      <c r="C95" s="117" t="s">
        <v>531</v>
      </c>
      <c r="D95" s="118"/>
      <c r="E95" s="115" t="s">
        <v>225</v>
      </c>
      <c r="F95" s="119">
        <f t="shared" si="28"/>
        <v>906.57</v>
      </c>
      <c r="G95" s="105">
        <v>43.6</v>
      </c>
      <c r="H95" s="105">
        <v>120.9</v>
      </c>
      <c r="I95" s="105">
        <v>120.9</v>
      </c>
      <c r="J95" s="105">
        <v>233.9</v>
      </c>
      <c r="K95" s="105">
        <v>120.9</v>
      </c>
      <c r="L95" s="105">
        <v>91.9</v>
      </c>
      <c r="M95" s="105">
        <v>174.47</v>
      </c>
      <c r="N95" s="106">
        <f>VLOOKUP(B95,'Форма КП'!$B$17:$G$23,5,FALSE)</f>
        <v>0</v>
      </c>
      <c r="O95" s="106">
        <f>N95*F95</f>
        <v>0</v>
      </c>
      <c r="P95" s="106"/>
      <c r="Q95" s="106"/>
      <c r="R95" s="106">
        <f>N95</f>
        <v>0</v>
      </c>
      <c r="S95" s="106">
        <f>N95*F95</f>
        <v>0</v>
      </c>
    </row>
    <row r="96" spans="1:19" x14ac:dyDescent="0.25">
      <c r="A96" s="120" t="s">
        <v>173</v>
      </c>
      <c r="B96" s="116" t="s">
        <v>281</v>
      </c>
      <c r="C96" s="121" t="s">
        <v>282</v>
      </c>
      <c r="D96" s="122">
        <v>1.1499999999999999</v>
      </c>
      <c r="E96" s="120" t="s">
        <v>225</v>
      </c>
      <c r="F96" s="123">
        <f t="shared" si="28"/>
        <v>1042.58</v>
      </c>
      <c r="G96" s="88">
        <f>G95*D96</f>
        <v>50.14</v>
      </c>
      <c r="H96" s="88">
        <f>H95*D96</f>
        <v>139.04</v>
      </c>
      <c r="I96" s="88">
        <f>I95*D96</f>
        <v>139.04</v>
      </c>
      <c r="J96" s="88">
        <f>J95*D96</f>
        <v>268.99</v>
      </c>
      <c r="K96" s="88">
        <f>K95*D96</f>
        <v>139.04</v>
      </c>
      <c r="L96" s="88">
        <f>L95*D96</f>
        <v>105.69</v>
      </c>
      <c r="M96" s="88">
        <f>M95*D96</f>
        <v>200.64</v>
      </c>
      <c r="N96" s="29"/>
      <c r="O96" s="29"/>
      <c r="P96" s="49" t="str">
        <f>VLOOKUP(B96,'Форма КП'!$B$25:$G$47,5,FALSE)</f>
        <v>Материал заказчика</v>
      </c>
      <c r="Q96" s="50"/>
      <c r="R96" s="49" t="str">
        <f t="shared" ref="R96" si="30">P96</f>
        <v>Материал заказчика</v>
      </c>
      <c r="S96" s="50"/>
    </row>
    <row r="97" spans="1:19" ht="168" x14ac:dyDescent="0.25">
      <c r="A97" s="115" t="s">
        <v>174</v>
      </c>
      <c r="B97" s="116" t="s">
        <v>264</v>
      </c>
      <c r="C97" s="117" t="s">
        <v>530</v>
      </c>
      <c r="D97" s="118"/>
      <c r="E97" s="115" t="s">
        <v>225</v>
      </c>
      <c r="F97" s="119">
        <f t="shared" si="28"/>
        <v>2082.4499999999998</v>
      </c>
      <c r="G97" s="105">
        <v>302.60000000000002</v>
      </c>
      <c r="H97" s="105">
        <v>288.83999999999997</v>
      </c>
      <c r="I97" s="105">
        <v>288.83999999999997</v>
      </c>
      <c r="J97" s="105">
        <v>316.57</v>
      </c>
      <c r="K97" s="105">
        <v>286.60000000000002</v>
      </c>
      <c r="L97" s="105">
        <v>314.60000000000002</v>
      </c>
      <c r="M97" s="105">
        <v>284.39999999999998</v>
      </c>
      <c r="N97" s="106">
        <f>VLOOKUP(B97,'Форма КП'!$B$17:$G$23,5,FALSE)</f>
        <v>0</v>
      </c>
      <c r="O97" s="106">
        <f>N97*F97</f>
        <v>0</v>
      </c>
      <c r="P97" s="106"/>
      <c r="Q97" s="106"/>
      <c r="R97" s="106">
        <f>N97</f>
        <v>0</v>
      </c>
      <c r="S97" s="106">
        <f>N97*F97</f>
        <v>0</v>
      </c>
    </row>
    <row r="98" spans="1:19" x14ac:dyDescent="0.25">
      <c r="A98" s="120" t="s">
        <v>175</v>
      </c>
      <c r="B98" s="116" t="s">
        <v>265</v>
      </c>
      <c r="C98" s="121" t="s">
        <v>266</v>
      </c>
      <c r="D98" s="91">
        <v>6.1199999999999997E-2</v>
      </c>
      <c r="E98" s="120" t="s">
        <v>267</v>
      </c>
      <c r="F98" s="125">
        <f t="shared" si="28"/>
        <v>127.446</v>
      </c>
      <c r="G98" s="89">
        <f>G97*D98</f>
        <v>18.518999999999998</v>
      </c>
      <c r="H98" s="89">
        <f>H97*D98</f>
        <v>17.677</v>
      </c>
      <c r="I98" s="89">
        <f>I97*D98</f>
        <v>17.677</v>
      </c>
      <c r="J98" s="89">
        <f>J97*D98</f>
        <v>19.373999999999999</v>
      </c>
      <c r="K98" s="89">
        <f>K97*D98</f>
        <v>17.54</v>
      </c>
      <c r="L98" s="89">
        <f>L97*D98</f>
        <v>19.254000000000001</v>
      </c>
      <c r="M98" s="89">
        <f>M97*D98</f>
        <v>17.405000000000001</v>
      </c>
      <c r="N98" s="29"/>
      <c r="O98" s="29"/>
      <c r="P98" s="86">
        <f>VLOOKUP(B98,'Форма КП'!$B$25:$G$47,5,FALSE)</f>
        <v>0</v>
      </c>
      <c r="Q98" s="86">
        <f t="shared" ref="Q98:Q101" si="31">P98*F98</f>
        <v>0</v>
      </c>
      <c r="R98" s="32">
        <f t="shared" ref="R98:R101" si="32">P98</f>
        <v>0</v>
      </c>
      <c r="S98" s="32">
        <f t="shared" ref="S98:S101" si="33">P98*F98</f>
        <v>0</v>
      </c>
    </row>
    <row r="99" spans="1:19" x14ac:dyDescent="0.25">
      <c r="A99" s="120" t="s">
        <v>176</v>
      </c>
      <c r="B99" s="116" t="s">
        <v>268</v>
      </c>
      <c r="C99" s="121" t="s">
        <v>269</v>
      </c>
      <c r="D99" s="91">
        <v>7.3440000000000005E-2</v>
      </c>
      <c r="E99" s="120" t="s">
        <v>231</v>
      </c>
      <c r="F99" s="123">
        <f t="shared" si="28"/>
        <v>152.93</v>
      </c>
      <c r="G99" s="88">
        <f>G97*D99</f>
        <v>22.22</v>
      </c>
      <c r="H99" s="88">
        <f>H97*D99</f>
        <v>21.21</v>
      </c>
      <c r="I99" s="88">
        <f>I97*D99</f>
        <v>21.21</v>
      </c>
      <c r="J99" s="88">
        <f>J97*D99</f>
        <v>23.25</v>
      </c>
      <c r="K99" s="88">
        <f>K97*D99</f>
        <v>21.05</v>
      </c>
      <c r="L99" s="88">
        <f>L97*D99</f>
        <v>23.1</v>
      </c>
      <c r="M99" s="88">
        <f>M97*D99</f>
        <v>20.89</v>
      </c>
      <c r="N99" s="29"/>
      <c r="O99" s="29"/>
      <c r="P99" s="86">
        <f>VLOOKUP(B99,'Форма КП'!$B$25:$G$47,5,FALSE)</f>
        <v>0</v>
      </c>
      <c r="Q99" s="86">
        <f t="shared" si="31"/>
        <v>0</v>
      </c>
      <c r="R99" s="32">
        <f t="shared" si="32"/>
        <v>0</v>
      </c>
      <c r="S99" s="32">
        <f t="shared" si="33"/>
        <v>0</v>
      </c>
    </row>
    <row r="100" spans="1:19" ht="36" x14ac:dyDescent="0.25">
      <c r="A100" s="120" t="s">
        <v>177</v>
      </c>
      <c r="B100" s="116" t="s">
        <v>270</v>
      </c>
      <c r="C100" s="121" t="s">
        <v>271</v>
      </c>
      <c r="D100" s="91" t="s">
        <v>518</v>
      </c>
      <c r="E100" s="120" t="s">
        <v>6</v>
      </c>
      <c r="F100" s="123">
        <f t="shared" si="28"/>
        <v>2089.34</v>
      </c>
      <c r="G100" s="88">
        <f>290*1.1</f>
        <v>319</v>
      </c>
      <c r="H100" s="88">
        <f>256.7*1.1</f>
        <v>282.37</v>
      </c>
      <c r="I100" s="88">
        <f>256.7*1.1</f>
        <v>282.37</v>
      </c>
      <c r="J100" s="88">
        <f>293.3*1.1</f>
        <v>322.63</v>
      </c>
      <c r="K100" s="88">
        <f>246.7*1.1</f>
        <v>271.37</v>
      </c>
      <c r="L100" s="88">
        <f>300*1.1</f>
        <v>330</v>
      </c>
      <c r="M100" s="88">
        <f>256*1.1</f>
        <v>281.60000000000002</v>
      </c>
      <c r="N100" s="29"/>
      <c r="O100" s="29"/>
      <c r="P100" s="86">
        <f>VLOOKUP(B100,'Форма КП'!$B$25:$G$47,5,FALSE)</f>
        <v>0</v>
      </c>
      <c r="Q100" s="86">
        <f t="shared" si="31"/>
        <v>0</v>
      </c>
      <c r="R100" s="32">
        <f t="shared" si="32"/>
        <v>0</v>
      </c>
      <c r="S100" s="32">
        <f t="shared" si="33"/>
        <v>0</v>
      </c>
    </row>
    <row r="101" spans="1:19" x14ac:dyDescent="0.25">
      <c r="A101" s="120" t="s">
        <v>178</v>
      </c>
      <c r="B101" s="116" t="s">
        <v>272</v>
      </c>
      <c r="C101" s="121" t="s">
        <v>273</v>
      </c>
      <c r="D101" s="91">
        <v>1.1499999999999999</v>
      </c>
      <c r="E101" s="120" t="s">
        <v>225</v>
      </c>
      <c r="F101" s="123">
        <f t="shared" si="28"/>
        <v>2016.29</v>
      </c>
      <c r="G101" s="88">
        <f>(G97-G92)*D101</f>
        <v>295.62</v>
      </c>
      <c r="H101" s="88">
        <f>(H97-H92)*D101</f>
        <v>276.39</v>
      </c>
      <c r="I101" s="88">
        <f>(I97-I92)*D101</f>
        <v>276.39</v>
      </c>
      <c r="J101" s="88">
        <f>(J97-J92)*D101</f>
        <v>307.87</v>
      </c>
      <c r="K101" s="88">
        <f>(K97-K92)*D101</f>
        <v>273.82</v>
      </c>
      <c r="L101" s="88">
        <f>(L97-L92)*D101</f>
        <v>309.12</v>
      </c>
      <c r="M101" s="88">
        <f>(M97-M92)*D101</f>
        <v>277.08</v>
      </c>
      <c r="N101" s="29"/>
      <c r="O101" s="29"/>
      <c r="P101" s="86">
        <f>VLOOKUP(B101,'Форма КП'!$B$25:$G$47,5,FALSE)</f>
        <v>0</v>
      </c>
      <c r="Q101" s="86">
        <f t="shared" si="31"/>
        <v>0</v>
      </c>
      <c r="R101" s="32">
        <f t="shared" si="32"/>
        <v>0</v>
      </c>
      <c r="S101" s="32">
        <f t="shared" si="33"/>
        <v>0</v>
      </c>
    </row>
    <row r="102" spans="1:19" x14ac:dyDescent="0.25">
      <c r="A102" s="107" t="s">
        <v>283</v>
      </c>
      <c r="B102" s="108"/>
      <c r="C102" s="109"/>
      <c r="D102" s="110"/>
      <c r="E102" s="111"/>
      <c r="F102" s="112"/>
      <c r="G102" s="113"/>
      <c r="H102" s="113"/>
      <c r="I102" s="113"/>
      <c r="J102" s="113"/>
      <c r="K102" s="113"/>
      <c r="L102" s="113"/>
      <c r="M102" s="113"/>
      <c r="N102" s="33"/>
      <c r="O102" s="33"/>
      <c r="P102" s="33"/>
      <c r="Q102" s="33"/>
      <c r="R102" s="33"/>
      <c r="S102" s="31"/>
    </row>
    <row r="103" spans="1:19" x14ac:dyDescent="0.25">
      <c r="A103" s="114" t="s">
        <v>223</v>
      </c>
      <c r="B103" s="108"/>
      <c r="C103" s="109"/>
      <c r="D103" s="110"/>
      <c r="E103" s="111"/>
      <c r="F103" s="112"/>
      <c r="G103" s="113"/>
      <c r="H103" s="113"/>
      <c r="I103" s="113"/>
      <c r="J103" s="113"/>
      <c r="K103" s="113"/>
      <c r="L103" s="113"/>
      <c r="M103" s="113"/>
      <c r="N103" s="33"/>
      <c r="O103" s="33"/>
      <c r="P103" s="33"/>
      <c r="Q103" s="33"/>
      <c r="R103" s="33"/>
      <c r="S103" s="31"/>
    </row>
    <row r="104" spans="1:19" ht="168" x14ac:dyDescent="0.25">
      <c r="A104" s="115" t="s">
        <v>179</v>
      </c>
      <c r="B104" s="116" t="s">
        <v>264</v>
      </c>
      <c r="C104" s="117" t="s">
        <v>530</v>
      </c>
      <c r="D104" s="118"/>
      <c r="E104" s="115" t="s">
        <v>225</v>
      </c>
      <c r="F104" s="119">
        <f t="shared" ref="F104:F117" si="34">SUM(G104:M104)</f>
        <v>359.27</v>
      </c>
      <c r="G104" s="105">
        <v>68.44</v>
      </c>
      <c r="H104" s="105">
        <v>43.48</v>
      </c>
      <c r="I104" s="105">
        <v>43.52</v>
      </c>
      <c r="J104" s="105">
        <v>58.02</v>
      </c>
      <c r="K104" s="105">
        <v>43.39</v>
      </c>
      <c r="L104" s="105">
        <v>59.05</v>
      </c>
      <c r="M104" s="105">
        <v>43.37</v>
      </c>
      <c r="N104" s="106">
        <f>VLOOKUP(B104,'Форма КП'!$B$17:$G$23,5,FALSE)</f>
        <v>0</v>
      </c>
      <c r="O104" s="106">
        <f>N104*F104</f>
        <v>0</v>
      </c>
      <c r="P104" s="106"/>
      <c r="Q104" s="106"/>
      <c r="R104" s="106">
        <f>N104</f>
        <v>0</v>
      </c>
      <c r="S104" s="106">
        <f>N104*F104</f>
        <v>0</v>
      </c>
    </row>
    <row r="105" spans="1:19" x14ac:dyDescent="0.25">
      <c r="A105" s="120" t="s">
        <v>180</v>
      </c>
      <c r="B105" s="116" t="s">
        <v>265</v>
      </c>
      <c r="C105" s="121" t="s">
        <v>266</v>
      </c>
      <c r="D105" s="91">
        <v>6.1199999999999997E-2</v>
      </c>
      <c r="E105" s="120" t="s">
        <v>267</v>
      </c>
      <c r="F105" s="125">
        <f t="shared" si="34"/>
        <v>21.986999999999998</v>
      </c>
      <c r="G105" s="89">
        <f>G104*D105</f>
        <v>4.1890000000000001</v>
      </c>
      <c r="H105" s="89">
        <f>H104*D105</f>
        <v>2.661</v>
      </c>
      <c r="I105" s="89">
        <f>I104*D105</f>
        <v>2.6629999999999998</v>
      </c>
      <c r="J105" s="89">
        <f>J104*D105</f>
        <v>3.5510000000000002</v>
      </c>
      <c r="K105" s="89">
        <f>K104*D105</f>
        <v>2.6549999999999998</v>
      </c>
      <c r="L105" s="89">
        <f>L104*D105</f>
        <v>3.6139999999999999</v>
      </c>
      <c r="M105" s="89">
        <f>M104*D105</f>
        <v>2.6539999999999999</v>
      </c>
      <c r="N105" s="29"/>
      <c r="O105" s="29"/>
      <c r="P105" s="86">
        <f>VLOOKUP(B105,'Форма КП'!$B$25:$G$47,5,FALSE)</f>
        <v>0</v>
      </c>
      <c r="Q105" s="86">
        <f t="shared" ref="Q105:Q107" si="35">P105*F105</f>
        <v>0</v>
      </c>
      <c r="R105" s="32">
        <f t="shared" ref="R105:R107" si="36">P105</f>
        <v>0</v>
      </c>
      <c r="S105" s="32">
        <f t="shared" ref="S105:S107" si="37">P105*F105</f>
        <v>0</v>
      </c>
    </row>
    <row r="106" spans="1:19" x14ac:dyDescent="0.25">
      <c r="A106" s="120" t="s">
        <v>181</v>
      </c>
      <c r="B106" s="116" t="s">
        <v>268</v>
      </c>
      <c r="C106" s="121" t="s">
        <v>269</v>
      </c>
      <c r="D106" s="91">
        <v>7.3440000000000005E-2</v>
      </c>
      <c r="E106" s="120" t="s">
        <v>231</v>
      </c>
      <c r="F106" s="123">
        <f t="shared" si="34"/>
        <v>26.4</v>
      </c>
      <c r="G106" s="88">
        <f>G104*D106</f>
        <v>5.03</v>
      </c>
      <c r="H106" s="88">
        <f>H104*D106</f>
        <v>3.19</v>
      </c>
      <c r="I106" s="88">
        <f>I104*D106</f>
        <v>3.2</v>
      </c>
      <c r="J106" s="88">
        <f>J104*D106</f>
        <v>4.26</v>
      </c>
      <c r="K106" s="88">
        <f>K104*D106</f>
        <v>3.19</v>
      </c>
      <c r="L106" s="88">
        <f>L104*D106</f>
        <v>4.34</v>
      </c>
      <c r="M106" s="88">
        <f>M104*D106</f>
        <v>3.19</v>
      </c>
      <c r="N106" s="29"/>
      <c r="O106" s="29"/>
      <c r="P106" s="86">
        <f>VLOOKUP(B106,'Форма КП'!$B$25:$G$47,5,FALSE)</f>
        <v>0</v>
      </c>
      <c r="Q106" s="86">
        <f t="shared" si="35"/>
        <v>0</v>
      </c>
      <c r="R106" s="32">
        <f t="shared" si="36"/>
        <v>0</v>
      </c>
      <c r="S106" s="32">
        <f t="shared" si="37"/>
        <v>0</v>
      </c>
    </row>
    <row r="107" spans="1:19" ht="36" x14ac:dyDescent="0.25">
      <c r="A107" s="120" t="s">
        <v>182</v>
      </c>
      <c r="B107" s="116" t="s">
        <v>270</v>
      </c>
      <c r="C107" s="121" t="s">
        <v>271</v>
      </c>
      <c r="D107" s="91" t="s">
        <v>518</v>
      </c>
      <c r="E107" s="120" t="s">
        <v>6</v>
      </c>
      <c r="F107" s="123">
        <f t="shared" si="34"/>
        <v>486.17</v>
      </c>
      <c r="G107" s="90">
        <f>(95.43-8.39)*1.1</f>
        <v>95.74</v>
      </c>
      <c r="H107" s="90">
        <f>(58.9-7.4)*1.1</f>
        <v>56.65</v>
      </c>
      <c r="I107" s="90">
        <f>(58.98-7.4)*1.1</f>
        <v>56.74</v>
      </c>
      <c r="J107" s="90">
        <f>(81.65-6.4)*1.1</f>
        <v>82.78</v>
      </c>
      <c r="K107" s="90">
        <f>(58.98-7.4)*1.1</f>
        <v>56.74</v>
      </c>
      <c r="L107" s="90">
        <f>(80.84-7.4)*1.1</f>
        <v>80.78</v>
      </c>
      <c r="M107" s="90">
        <f>(58.98-7.4)*1.1</f>
        <v>56.74</v>
      </c>
      <c r="N107" s="29"/>
      <c r="O107" s="29"/>
      <c r="P107" s="86">
        <f>VLOOKUP(B107,'Форма КП'!$B$25:$G$47,5,FALSE)</f>
        <v>0</v>
      </c>
      <c r="Q107" s="86">
        <f t="shared" si="35"/>
        <v>0</v>
      </c>
      <c r="R107" s="32">
        <f t="shared" si="36"/>
        <v>0</v>
      </c>
      <c r="S107" s="32">
        <f t="shared" si="37"/>
        <v>0</v>
      </c>
    </row>
    <row r="108" spans="1:19" ht="156" x14ac:dyDescent="0.25">
      <c r="A108" s="115" t="s">
        <v>183</v>
      </c>
      <c r="B108" s="116" t="s">
        <v>224</v>
      </c>
      <c r="C108" s="117" t="s">
        <v>525</v>
      </c>
      <c r="D108" s="118"/>
      <c r="E108" s="115" t="s">
        <v>225</v>
      </c>
      <c r="F108" s="119">
        <f t="shared" si="34"/>
        <v>330.45</v>
      </c>
      <c r="G108" s="105">
        <v>56.34</v>
      </c>
      <c r="H108" s="105">
        <v>43.25</v>
      </c>
      <c r="I108" s="105">
        <v>43.24</v>
      </c>
      <c r="J108" s="105">
        <v>50.72</v>
      </c>
      <c r="K108" s="105">
        <v>43.11</v>
      </c>
      <c r="L108" s="105">
        <v>50.7</v>
      </c>
      <c r="M108" s="105">
        <v>43.09</v>
      </c>
      <c r="N108" s="106">
        <f>VLOOKUP(B108,'Форма КП'!$B$17:$G$23,5,FALSE)</f>
        <v>0</v>
      </c>
      <c r="O108" s="106">
        <f>N108*F108</f>
        <v>0</v>
      </c>
      <c r="P108" s="106"/>
      <c r="Q108" s="106"/>
      <c r="R108" s="106">
        <f>N108</f>
        <v>0</v>
      </c>
      <c r="S108" s="106">
        <f>N108*F108</f>
        <v>0</v>
      </c>
    </row>
    <row r="109" spans="1:19" x14ac:dyDescent="0.25">
      <c r="A109" s="120" t="s">
        <v>184</v>
      </c>
      <c r="B109" s="116" t="s">
        <v>226</v>
      </c>
      <c r="C109" s="121" t="s">
        <v>227</v>
      </c>
      <c r="D109" s="91">
        <v>0.15</v>
      </c>
      <c r="E109" s="120" t="s">
        <v>228</v>
      </c>
      <c r="F109" s="123">
        <f t="shared" si="34"/>
        <v>49.58</v>
      </c>
      <c r="G109" s="88">
        <f>G108*D109</f>
        <v>8.4499999999999993</v>
      </c>
      <c r="H109" s="88">
        <f>H108*D109</f>
        <v>6.49</v>
      </c>
      <c r="I109" s="88">
        <f>I108*D109</f>
        <v>6.49</v>
      </c>
      <c r="J109" s="88">
        <f>J108*D109</f>
        <v>7.61</v>
      </c>
      <c r="K109" s="88">
        <f>K108*D109</f>
        <v>6.47</v>
      </c>
      <c r="L109" s="88">
        <f>L108*D109</f>
        <v>7.61</v>
      </c>
      <c r="M109" s="88">
        <f>M108*D109</f>
        <v>6.46</v>
      </c>
      <c r="N109" s="29"/>
      <c r="O109" s="29"/>
      <c r="P109" s="49" t="str">
        <f>VLOOKUP(B109,'Форма КП'!$B$25:$G$47,5,FALSE)</f>
        <v>Материал заказчика</v>
      </c>
      <c r="Q109" s="50"/>
      <c r="R109" s="49" t="str">
        <f t="shared" ref="R109:R112" si="38">P109</f>
        <v>Материал заказчика</v>
      </c>
      <c r="S109" s="50"/>
    </row>
    <row r="110" spans="1:19" x14ac:dyDescent="0.25">
      <c r="A110" s="120" t="s">
        <v>185</v>
      </c>
      <c r="B110" s="116" t="s">
        <v>229</v>
      </c>
      <c r="C110" s="121" t="s">
        <v>230</v>
      </c>
      <c r="D110" s="91">
        <v>8</v>
      </c>
      <c r="E110" s="120" t="s">
        <v>231</v>
      </c>
      <c r="F110" s="123">
        <f t="shared" si="34"/>
        <v>2643.6</v>
      </c>
      <c r="G110" s="88">
        <f>G108*D110</f>
        <v>450.72</v>
      </c>
      <c r="H110" s="88">
        <f>H108*D110</f>
        <v>346</v>
      </c>
      <c r="I110" s="88">
        <f>I108*D110</f>
        <v>345.92</v>
      </c>
      <c r="J110" s="88">
        <f>J108*D110</f>
        <v>405.76</v>
      </c>
      <c r="K110" s="88">
        <f>K108*D110</f>
        <v>344.88</v>
      </c>
      <c r="L110" s="88">
        <f>L108*D110</f>
        <v>405.6</v>
      </c>
      <c r="M110" s="88">
        <f>M108*D110</f>
        <v>344.72</v>
      </c>
      <c r="N110" s="29"/>
      <c r="O110" s="29"/>
      <c r="P110" s="49" t="str">
        <f>VLOOKUP(B110,'Форма КП'!$B$25:$G$47,5,FALSE)</f>
        <v>Материал заказчика</v>
      </c>
      <c r="Q110" s="50"/>
      <c r="R110" s="49" t="str">
        <f t="shared" si="38"/>
        <v>Материал заказчика</v>
      </c>
      <c r="S110" s="50"/>
    </row>
    <row r="111" spans="1:19" x14ac:dyDescent="0.25">
      <c r="A111" s="120" t="s">
        <v>186</v>
      </c>
      <c r="B111" s="116" t="s">
        <v>232</v>
      </c>
      <c r="C111" s="121" t="s">
        <v>233</v>
      </c>
      <c r="D111" s="91">
        <v>0.2</v>
      </c>
      <c r="E111" s="120" t="s">
        <v>231</v>
      </c>
      <c r="F111" s="123">
        <f t="shared" si="34"/>
        <v>66.09</v>
      </c>
      <c r="G111" s="88">
        <f>G108*D111</f>
        <v>11.27</v>
      </c>
      <c r="H111" s="88">
        <f>H108*D111</f>
        <v>8.65</v>
      </c>
      <c r="I111" s="88">
        <f>I108*D111</f>
        <v>8.65</v>
      </c>
      <c r="J111" s="88">
        <f>J108*D111</f>
        <v>10.14</v>
      </c>
      <c r="K111" s="88">
        <f>K108*D111</f>
        <v>8.6199999999999992</v>
      </c>
      <c r="L111" s="88">
        <f>L108*D111</f>
        <v>10.14</v>
      </c>
      <c r="M111" s="88">
        <f>M108*D111</f>
        <v>8.6199999999999992</v>
      </c>
      <c r="N111" s="29"/>
      <c r="O111" s="29"/>
      <c r="P111" s="49" t="str">
        <f>VLOOKUP(B111,'Форма КП'!$B$25:$G$47,5,FALSE)</f>
        <v>Материал заказчика</v>
      </c>
      <c r="Q111" s="50"/>
      <c r="R111" s="49" t="str">
        <f t="shared" si="38"/>
        <v>Материал заказчика</v>
      </c>
      <c r="S111" s="50"/>
    </row>
    <row r="112" spans="1:19" x14ac:dyDescent="0.25">
      <c r="A112" s="120" t="s">
        <v>187</v>
      </c>
      <c r="B112" s="116" t="s">
        <v>276</v>
      </c>
      <c r="C112" s="121" t="s">
        <v>277</v>
      </c>
      <c r="D112" s="91">
        <v>1.05</v>
      </c>
      <c r="E112" s="120" t="s">
        <v>225</v>
      </c>
      <c r="F112" s="123">
        <f t="shared" si="34"/>
        <v>346.98</v>
      </c>
      <c r="G112" s="88">
        <f>G108*D112</f>
        <v>59.16</v>
      </c>
      <c r="H112" s="88">
        <f>H108*D112</f>
        <v>45.41</v>
      </c>
      <c r="I112" s="88">
        <f>I108*D112</f>
        <v>45.4</v>
      </c>
      <c r="J112" s="88">
        <f>J108*D112</f>
        <v>53.26</v>
      </c>
      <c r="K112" s="88">
        <f>K108*D112</f>
        <v>45.27</v>
      </c>
      <c r="L112" s="88">
        <f>L108*D112</f>
        <v>53.24</v>
      </c>
      <c r="M112" s="88">
        <f>M108*D112</f>
        <v>45.24</v>
      </c>
      <c r="N112" s="29"/>
      <c r="O112" s="29"/>
      <c r="P112" s="49" t="str">
        <f>VLOOKUP(B112,'Форма КП'!$B$25:$G$47,5,FALSE)</f>
        <v>Материал заказчика</v>
      </c>
      <c r="Q112" s="50"/>
      <c r="R112" s="49" t="str">
        <f t="shared" si="38"/>
        <v>Материал заказчика</v>
      </c>
      <c r="S112" s="50"/>
    </row>
    <row r="113" spans="1:19" ht="168" x14ac:dyDescent="0.25">
      <c r="A113" s="115" t="s">
        <v>188</v>
      </c>
      <c r="B113" s="116" t="s">
        <v>251</v>
      </c>
      <c r="C113" s="117" t="s">
        <v>527</v>
      </c>
      <c r="D113" s="118"/>
      <c r="E113" s="115" t="s">
        <v>6</v>
      </c>
      <c r="F113" s="119">
        <f t="shared" si="34"/>
        <v>335.67</v>
      </c>
      <c r="G113" s="105">
        <v>55.77</v>
      </c>
      <c r="H113" s="105">
        <v>44.58</v>
      </c>
      <c r="I113" s="105">
        <v>44.58</v>
      </c>
      <c r="J113" s="105">
        <v>50.74</v>
      </c>
      <c r="K113" s="105">
        <v>44.49</v>
      </c>
      <c r="L113" s="105">
        <v>51.01</v>
      </c>
      <c r="M113" s="105">
        <v>44.5</v>
      </c>
      <c r="N113" s="106">
        <f>VLOOKUP(B113,'Форма КП'!$B$17:$G$23,5,FALSE)</f>
        <v>0</v>
      </c>
      <c r="O113" s="106">
        <f>N113*F113</f>
        <v>0</v>
      </c>
      <c r="P113" s="106"/>
      <c r="Q113" s="106"/>
      <c r="R113" s="106">
        <f>N113</f>
        <v>0</v>
      </c>
      <c r="S113" s="106">
        <f>N113*F113</f>
        <v>0</v>
      </c>
    </row>
    <row r="114" spans="1:19" x14ac:dyDescent="0.25">
      <c r="A114" s="120" t="s">
        <v>209</v>
      </c>
      <c r="B114" s="116" t="s">
        <v>252</v>
      </c>
      <c r="C114" s="121" t="s">
        <v>227</v>
      </c>
      <c r="D114" s="91">
        <v>1.4999999999999999E-2</v>
      </c>
      <c r="E114" s="120" t="s">
        <v>231</v>
      </c>
      <c r="F114" s="123">
        <f t="shared" si="34"/>
        <v>5.05</v>
      </c>
      <c r="G114" s="88">
        <f>G113*D114</f>
        <v>0.84</v>
      </c>
      <c r="H114" s="88">
        <f>H113*D114</f>
        <v>0.67</v>
      </c>
      <c r="I114" s="88">
        <f>I113*D114</f>
        <v>0.67</v>
      </c>
      <c r="J114" s="88">
        <f>J113*D114</f>
        <v>0.76</v>
      </c>
      <c r="K114" s="88">
        <f>K113*D114</f>
        <v>0.67</v>
      </c>
      <c r="L114" s="88">
        <f>L113*D114</f>
        <v>0.77</v>
      </c>
      <c r="M114" s="88">
        <f>M113*D114</f>
        <v>0.67</v>
      </c>
      <c r="N114" s="29"/>
      <c r="O114" s="29"/>
      <c r="P114" s="49" t="str">
        <f>VLOOKUP(B114,'Форма КП'!$B$25:$G$47,5,FALSE)</f>
        <v>Материал заказчика</v>
      </c>
      <c r="Q114" s="50"/>
      <c r="R114" s="49" t="str">
        <f t="shared" ref="R114:R117" si="39">P114</f>
        <v>Материал заказчика</v>
      </c>
      <c r="S114" s="50"/>
    </row>
    <row r="115" spans="1:19" x14ac:dyDescent="0.25">
      <c r="A115" s="120" t="s">
        <v>210</v>
      </c>
      <c r="B115" s="116" t="s">
        <v>229</v>
      </c>
      <c r="C115" s="121" t="s">
        <v>230</v>
      </c>
      <c r="D115" s="91">
        <v>0.8</v>
      </c>
      <c r="E115" s="120" t="s">
        <v>231</v>
      </c>
      <c r="F115" s="123">
        <f t="shared" si="34"/>
        <v>268.52999999999997</v>
      </c>
      <c r="G115" s="88">
        <f>G113*D115</f>
        <v>44.62</v>
      </c>
      <c r="H115" s="88">
        <f>H113*D115</f>
        <v>35.659999999999997</v>
      </c>
      <c r="I115" s="88">
        <f>I113*D115</f>
        <v>35.659999999999997</v>
      </c>
      <c r="J115" s="88">
        <f>J113*D115</f>
        <v>40.590000000000003</v>
      </c>
      <c r="K115" s="88">
        <f>K113*D115</f>
        <v>35.590000000000003</v>
      </c>
      <c r="L115" s="88">
        <f>L113*D115</f>
        <v>40.81</v>
      </c>
      <c r="M115" s="88">
        <f>M113*D115</f>
        <v>35.6</v>
      </c>
      <c r="N115" s="29"/>
      <c r="O115" s="29"/>
      <c r="P115" s="49" t="str">
        <f>VLOOKUP(B115,'Форма КП'!$B$25:$G$47,5,FALSE)</f>
        <v>Материал заказчика</v>
      </c>
      <c r="Q115" s="50"/>
      <c r="R115" s="49" t="str">
        <f t="shared" si="39"/>
        <v>Материал заказчика</v>
      </c>
      <c r="S115" s="50"/>
    </row>
    <row r="116" spans="1:19" x14ac:dyDescent="0.25">
      <c r="A116" s="120" t="s">
        <v>211</v>
      </c>
      <c r="B116" s="116" t="s">
        <v>232</v>
      </c>
      <c r="C116" s="121" t="s">
        <v>233</v>
      </c>
      <c r="D116" s="91">
        <v>0.02</v>
      </c>
      <c r="E116" s="120" t="s">
        <v>231</v>
      </c>
      <c r="F116" s="123">
        <f t="shared" si="34"/>
        <v>6.71</v>
      </c>
      <c r="G116" s="88">
        <f>G113*D116</f>
        <v>1.1200000000000001</v>
      </c>
      <c r="H116" s="88">
        <f>H113*D116</f>
        <v>0.89</v>
      </c>
      <c r="I116" s="88">
        <f>I113*D116</f>
        <v>0.89</v>
      </c>
      <c r="J116" s="88">
        <f>J113*D116</f>
        <v>1.01</v>
      </c>
      <c r="K116" s="88">
        <f>K113*D116</f>
        <v>0.89</v>
      </c>
      <c r="L116" s="88">
        <f>L113*D116</f>
        <v>1.02</v>
      </c>
      <c r="M116" s="88">
        <f>M113*D116</f>
        <v>0.89</v>
      </c>
      <c r="N116" s="29"/>
      <c r="O116" s="29"/>
      <c r="P116" s="49" t="str">
        <f>VLOOKUP(B116,'Форма КП'!$B$25:$G$47,5,FALSE)</f>
        <v>Материал заказчика</v>
      </c>
      <c r="Q116" s="50"/>
      <c r="R116" s="49" t="str">
        <f t="shared" si="39"/>
        <v>Материал заказчика</v>
      </c>
      <c r="S116" s="50"/>
    </row>
    <row r="117" spans="1:19" ht="24" x14ac:dyDescent="0.25">
      <c r="A117" s="120" t="s">
        <v>212</v>
      </c>
      <c r="B117" s="116" t="s">
        <v>253</v>
      </c>
      <c r="C117" s="121" t="s">
        <v>254</v>
      </c>
      <c r="D117" s="91">
        <v>0.11</v>
      </c>
      <c r="E117" s="120" t="s">
        <v>225</v>
      </c>
      <c r="F117" s="123">
        <f t="shared" si="34"/>
        <v>36.909999999999997</v>
      </c>
      <c r="G117" s="88">
        <f>G113*D117</f>
        <v>6.13</v>
      </c>
      <c r="H117" s="88">
        <f>H113*D117</f>
        <v>4.9000000000000004</v>
      </c>
      <c r="I117" s="88">
        <f>I113*D117</f>
        <v>4.9000000000000004</v>
      </c>
      <c r="J117" s="88">
        <f>J113*D117</f>
        <v>5.58</v>
      </c>
      <c r="K117" s="88">
        <f>K113*D117</f>
        <v>4.8899999999999997</v>
      </c>
      <c r="L117" s="88">
        <f>L113*D117</f>
        <v>5.61</v>
      </c>
      <c r="M117" s="88">
        <f>M113*D117</f>
        <v>4.9000000000000004</v>
      </c>
      <c r="N117" s="29"/>
      <c r="O117" s="29"/>
      <c r="P117" s="49" t="str">
        <f>VLOOKUP(B117,'Форма КП'!$B$25:$G$47,5,FALSE)</f>
        <v>Материал заказчика</v>
      </c>
      <c r="Q117" s="50"/>
      <c r="R117" s="49" t="str">
        <f t="shared" si="39"/>
        <v>Материал заказчика</v>
      </c>
      <c r="S117" s="50"/>
    </row>
    <row r="118" spans="1:19" x14ac:dyDescent="0.25">
      <c r="A118" s="114" t="s">
        <v>278</v>
      </c>
      <c r="B118" s="108"/>
      <c r="C118" s="109"/>
      <c r="D118" s="110"/>
      <c r="E118" s="111"/>
      <c r="F118" s="112"/>
      <c r="G118" s="113"/>
      <c r="H118" s="113"/>
      <c r="I118" s="113"/>
      <c r="J118" s="113"/>
      <c r="K118" s="113"/>
      <c r="L118" s="113"/>
      <c r="M118" s="113"/>
      <c r="N118" s="33"/>
      <c r="O118" s="33"/>
      <c r="P118" s="33"/>
      <c r="Q118" s="33"/>
      <c r="R118" s="33"/>
      <c r="S118" s="31"/>
    </row>
    <row r="119" spans="1:19" ht="180" x14ac:dyDescent="0.25">
      <c r="A119" s="115" t="s">
        <v>213</v>
      </c>
      <c r="B119" s="116" t="s">
        <v>259</v>
      </c>
      <c r="C119" s="117" t="s">
        <v>529</v>
      </c>
      <c r="D119" s="118"/>
      <c r="E119" s="115" t="s">
        <v>225</v>
      </c>
      <c r="F119" s="119">
        <f t="shared" ref="F119:F128" si="40">SUM(G119:M119)</f>
        <v>320.44</v>
      </c>
      <c r="G119" s="105">
        <v>45.44</v>
      </c>
      <c r="H119" s="105">
        <v>46.51</v>
      </c>
      <c r="I119" s="105">
        <v>46.51</v>
      </c>
      <c r="J119" s="105">
        <v>47.88</v>
      </c>
      <c r="K119" s="105">
        <v>46.5</v>
      </c>
      <c r="L119" s="105">
        <v>44.6</v>
      </c>
      <c r="M119" s="105">
        <v>43</v>
      </c>
      <c r="N119" s="106">
        <f>VLOOKUP(B119,'Форма КП'!$B$17:$G$23,5,FALSE)</f>
        <v>0</v>
      </c>
      <c r="O119" s="106">
        <f>N119*F119</f>
        <v>0</v>
      </c>
      <c r="P119" s="106"/>
      <c r="Q119" s="106"/>
      <c r="R119" s="106">
        <f>N119</f>
        <v>0</v>
      </c>
      <c r="S119" s="106">
        <f>N119*F119</f>
        <v>0</v>
      </c>
    </row>
    <row r="120" spans="1:19" x14ac:dyDescent="0.25">
      <c r="A120" s="120" t="s">
        <v>214</v>
      </c>
      <c r="B120" s="116" t="s">
        <v>260</v>
      </c>
      <c r="C120" s="121" t="s">
        <v>261</v>
      </c>
      <c r="D120" s="122">
        <v>5</v>
      </c>
      <c r="E120" s="120" t="s">
        <v>231</v>
      </c>
      <c r="F120" s="123">
        <f t="shared" si="40"/>
        <v>1602.2</v>
      </c>
      <c r="G120" s="88">
        <f>G119*D120</f>
        <v>227.2</v>
      </c>
      <c r="H120" s="88">
        <f>H119*D120</f>
        <v>232.55</v>
      </c>
      <c r="I120" s="88">
        <f>I119*D120</f>
        <v>232.55</v>
      </c>
      <c r="J120" s="88">
        <f>J119*D120</f>
        <v>239.4</v>
      </c>
      <c r="K120" s="88">
        <f>K119*D120</f>
        <v>232.5</v>
      </c>
      <c r="L120" s="88">
        <f>L119*D120</f>
        <v>223</v>
      </c>
      <c r="M120" s="88">
        <f>M119*D120</f>
        <v>215</v>
      </c>
      <c r="N120" s="29"/>
      <c r="O120" s="29"/>
      <c r="P120" s="49" t="str">
        <f>VLOOKUP(B120,'Форма КП'!$B$25:$G$47,5,FALSE)</f>
        <v>Материал заказчика</v>
      </c>
      <c r="Q120" s="50"/>
      <c r="R120" s="49" t="str">
        <f t="shared" ref="R120:R121" si="41">P120</f>
        <v>Материал заказчика</v>
      </c>
      <c r="S120" s="50"/>
    </row>
    <row r="121" spans="1:19" x14ac:dyDescent="0.25">
      <c r="A121" s="120" t="s">
        <v>284</v>
      </c>
      <c r="B121" s="116" t="s">
        <v>262</v>
      </c>
      <c r="C121" s="121" t="s">
        <v>263</v>
      </c>
      <c r="D121" s="122" t="s">
        <v>518</v>
      </c>
      <c r="E121" s="120" t="s">
        <v>225</v>
      </c>
      <c r="F121" s="123">
        <f t="shared" si="40"/>
        <v>130.08000000000001</v>
      </c>
      <c r="G121" s="88">
        <f>54.02*0.3*1.15</f>
        <v>18.64</v>
      </c>
      <c r="H121" s="88">
        <f>53.51*0.3*1.15</f>
        <v>18.46</v>
      </c>
      <c r="I121" s="88">
        <f>53.51*0.3*1.15</f>
        <v>18.46</v>
      </c>
      <c r="J121" s="88">
        <f>58*0.3*1.15</f>
        <v>20.010000000000002</v>
      </c>
      <c r="K121" s="88">
        <f>53.51*0.3*1.15</f>
        <v>18.46</v>
      </c>
      <c r="L121" s="88">
        <f>54.3*0.3*1.15</f>
        <v>18.73</v>
      </c>
      <c r="M121" s="88">
        <f>50.2*0.3*1.15</f>
        <v>17.32</v>
      </c>
      <c r="N121" s="29"/>
      <c r="O121" s="29"/>
      <c r="P121" s="49" t="str">
        <f>VLOOKUP(B121,'Форма КП'!$B$25:$G$47,5,FALSE)</f>
        <v>Материал заказчика</v>
      </c>
      <c r="Q121" s="50"/>
      <c r="R121" s="49" t="str">
        <f t="shared" si="41"/>
        <v>Материал заказчика</v>
      </c>
      <c r="S121" s="50"/>
    </row>
    <row r="122" spans="1:19" ht="144" x14ac:dyDescent="0.25">
      <c r="A122" s="115" t="s">
        <v>285</v>
      </c>
      <c r="B122" s="116" t="s">
        <v>280</v>
      </c>
      <c r="C122" s="117" t="s">
        <v>531</v>
      </c>
      <c r="D122" s="118"/>
      <c r="E122" s="115" t="s">
        <v>225</v>
      </c>
      <c r="F122" s="119">
        <f t="shared" si="40"/>
        <v>2074.85</v>
      </c>
      <c r="G122" s="105">
        <v>302.60000000000002</v>
      </c>
      <c r="H122" s="105">
        <v>286.55</v>
      </c>
      <c r="I122" s="105">
        <v>286.55</v>
      </c>
      <c r="J122" s="105">
        <v>315.45999999999998</v>
      </c>
      <c r="K122" s="105">
        <v>286.55</v>
      </c>
      <c r="L122" s="105">
        <v>313.24</v>
      </c>
      <c r="M122" s="105">
        <v>283.89999999999998</v>
      </c>
      <c r="N122" s="106">
        <f>VLOOKUP(B122,'Форма КП'!$B$17:$G$23,5,FALSE)</f>
        <v>0</v>
      </c>
      <c r="O122" s="106">
        <f>N122*F122</f>
        <v>0</v>
      </c>
      <c r="P122" s="106"/>
      <c r="Q122" s="106"/>
      <c r="R122" s="106">
        <f>N122</f>
        <v>0</v>
      </c>
      <c r="S122" s="106">
        <f>N122*F122</f>
        <v>0</v>
      </c>
    </row>
    <row r="123" spans="1:19" x14ac:dyDescent="0.25">
      <c r="A123" s="120" t="s">
        <v>286</v>
      </c>
      <c r="B123" s="116" t="s">
        <v>281</v>
      </c>
      <c r="C123" s="121" t="s">
        <v>282</v>
      </c>
      <c r="D123" s="122">
        <v>1.1499999999999999</v>
      </c>
      <c r="E123" s="120" t="s">
        <v>225</v>
      </c>
      <c r="F123" s="123">
        <f t="shared" si="40"/>
        <v>2386.08</v>
      </c>
      <c r="G123" s="88">
        <f>G122*D123</f>
        <v>347.99</v>
      </c>
      <c r="H123" s="88">
        <f>H122*D123</f>
        <v>329.53</v>
      </c>
      <c r="I123" s="88">
        <f>I122*D123</f>
        <v>329.53</v>
      </c>
      <c r="J123" s="88">
        <f>J122*D123</f>
        <v>362.78</v>
      </c>
      <c r="K123" s="88">
        <f>K122*D123</f>
        <v>329.53</v>
      </c>
      <c r="L123" s="88">
        <f>L122*D123</f>
        <v>360.23</v>
      </c>
      <c r="M123" s="88">
        <f>M122*D123</f>
        <v>326.49</v>
      </c>
      <c r="N123" s="29"/>
      <c r="O123" s="29"/>
      <c r="P123" s="49" t="str">
        <f>VLOOKUP(B123,'Форма КП'!$B$25:$G$47,5,FALSE)</f>
        <v>Материал заказчика</v>
      </c>
      <c r="Q123" s="50"/>
      <c r="R123" s="49" t="str">
        <f t="shared" ref="R123" si="42">P123</f>
        <v>Материал заказчика</v>
      </c>
      <c r="S123" s="50"/>
    </row>
    <row r="124" spans="1:19" ht="168" x14ac:dyDescent="0.25">
      <c r="A124" s="115" t="s">
        <v>287</v>
      </c>
      <c r="B124" s="116" t="s">
        <v>264</v>
      </c>
      <c r="C124" s="117" t="s">
        <v>530</v>
      </c>
      <c r="D124" s="118"/>
      <c r="E124" s="115" t="s">
        <v>225</v>
      </c>
      <c r="F124" s="119">
        <f t="shared" si="40"/>
        <v>2074.85</v>
      </c>
      <c r="G124" s="105">
        <v>302.60000000000002</v>
      </c>
      <c r="H124" s="105">
        <v>286.55</v>
      </c>
      <c r="I124" s="105">
        <v>286.55</v>
      </c>
      <c r="J124" s="105">
        <v>315.45999999999998</v>
      </c>
      <c r="K124" s="105">
        <v>286.55</v>
      </c>
      <c r="L124" s="105">
        <v>313.24</v>
      </c>
      <c r="M124" s="105">
        <v>283.89999999999998</v>
      </c>
      <c r="N124" s="106">
        <f>VLOOKUP(B124,'Форма КП'!$B$17:$G$23,5,FALSE)</f>
        <v>0</v>
      </c>
      <c r="O124" s="106">
        <f>N124*F124</f>
        <v>0</v>
      </c>
      <c r="P124" s="106"/>
      <c r="Q124" s="106"/>
      <c r="R124" s="106">
        <f>N124</f>
        <v>0</v>
      </c>
      <c r="S124" s="106">
        <f>N124*F124</f>
        <v>0</v>
      </c>
    </row>
    <row r="125" spans="1:19" x14ac:dyDescent="0.25">
      <c r="A125" s="120" t="s">
        <v>288</v>
      </c>
      <c r="B125" s="116" t="s">
        <v>265</v>
      </c>
      <c r="C125" s="121" t="s">
        <v>266</v>
      </c>
      <c r="D125" s="91">
        <v>6.1199999999999997E-2</v>
      </c>
      <c r="E125" s="120" t="s">
        <v>267</v>
      </c>
      <c r="F125" s="125">
        <f t="shared" si="40"/>
        <v>126.98099999999999</v>
      </c>
      <c r="G125" s="89">
        <f>G124*D125</f>
        <v>18.518999999999998</v>
      </c>
      <c r="H125" s="89">
        <f>H124*D125</f>
        <v>17.536999999999999</v>
      </c>
      <c r="I125" s="89">
        <f>I124*D125</f>
        <v>17.536999999999999</v>
      </c>
      <c r="J125" s="89">
        <f>J124*D125</f>
        <v>19.306000000000001</v>
      </c>
      <c r="K125" s="89">
        <f>K124*D125</f>
        <v>17.536999999999999</v>
      </c>
      <c r="L125" s="89">
        <f>L124*D125</f>
        <v>19.170000000000002</v>
      </c>
      <c r="M125" s="89">
        <f>M124*D125</f>
        <v>17.375</v>
      </c>
      <c r="N125" s="29"/>
      <c r="O125" s="29"/>
      <c r="P125" s="86">
        <f>VLOOKUP(B125,'Форма КП'!$B$25:$G$47,5,FALSE)</f>
        <v>0</v>
      </c>
      <c r="Q125" s="86">
        <f t="shared" ref="Q125:Q128" si="43">P125*F125</f>
        <v>0</v>
      </c>
      <c r="R125" s="32">
        <f t="shared" ref="R125:R128" si="44">P125</f>
        <v>0</v>
      </c>
      <c r="S125" s="32">
        <f t="shared" ref="S125:S128" si="45">P125*F125</f>
        <v>0</v>
      </c>
    </row>
    <row r="126" spans="1:19" x14ac:dyDescent="0.25">
      <c r="A126" s="120" t="s">
        <v>289</v>
      </c>
      <c r="B126" s="116" t="s">
        <v>268</v>
      </c>
      <c r="C126" s="121" t="s">
        <v>269</v>
      </c>
      <c r="D126" s="91">
        <v>7.3440000000000005E-2</v>
      </c>
      <c r="E126" s="120" t="s">
        <v>231</v>
      </c>
      <c r="F126" s="123">
        <f t="shared" si="40"/>
        <v>152.36000000000001</v>
      </c>
      <c r="G126" s="88">
        <f>G124*D126</f>
        <v>22.22</v>
      </c>
      <c r="H126" s="88">
        <f>H124*D126</f>
        <v>21.04</v>
      </c>
      <c r="I126" s="88">
        <f>I124*D126</f>
        <v>21.04</v>
      </c>
      <c r="J126" s="88">
        <f>J124*D126</f>
        <v>23.17</v>
      </c>
      <c r="K126" s="88">
        <f>K124*D126</f>
        <v>21.04</v>
      </c>
      <c r="L126" s="88">
        <f>L124*D126</f>
        <v>23</v>
      </c>
      <c r="M126" s="88">
        <f>M124*D126</f>
        <v>20.85</v>
      </c>
      <c r="N126" s="29"/>
      <c r="O126" s="29"/>
      <c r="P126" s="86">
        <f>VLOOKUP(B126,'Форма КП'!$B$25:$G$47,5,FALSE)</f>
        <v>0</v>
      </c>
      <c r="Q126" s="86">
        <f t="shared" si="43"/>
        <v>0</v>
      </c>
      <c r="R126" s="32">
        <f t="shared" si="44"/>
        <v>0</v>
      </c>
      <c r="S126" s="32">
        <f t="shared" si="45"/>
        <v>0</v>
      </c>
    </row>
    <row r="127" spans="1:19" ht="36" x14ac:dyDescent="0.25">
      <c r="A127" s="120" t="s">
        <v>290</v>
      </c>
      <c r="B127" s="116" t="s">
        <v>270</v>
      </c>
      <c r="C127" s="121" t="s">
        <v>271</v>
      </c>
      <c r="D127" s="91" t="s">
        <v>518</v>
      </c>
      <c r="E127" s="120" t="s">
        <v>6</v>
      </c>
      <c r="F127" s="123">
        <f t="shared" si="40"/>
        <v>2089.34</v>
      </c>
      <c r="G127" s="88">
        <f>290*1.1</f>
        <v>319</v>
      </c>
      <c r="H127" s="88">
        <f>256.7*1.1</f>
        <v>282.37</v>
      </c>
      <c r="I127" s="88">
        <f>256.7*1.1</f>
        <v>282.37</v>
      </c>
      <c r="J127" s="88">
        <f>293.3*1.1</f>
        <v>322.63</v>
      </c>
      <c r="K127" s="88">
        <f>246.7*1.1</f>
        <v>271.37</v>
      </c>
      <c r="L127" s="88">
        <f>300*1.1</f>
        <v>330</v>
      </c>
      <c r="M127" s="88">
        <f>256*1.1</f>
        <v>281.60000000000002</v>
      </c>
      <c r="N127" s="29"/>
      <c r="O127" s="29"/>
      <c r="P127" s="86">
        <f>VLOOKUP(B127,'Форма КП'!$B$25:$G$47,5,FALSE)</f>
        <v>0</v>
      </c>
      <c r="Q127" s="86">
        <f t="shared" si="43"/>
        <v>0</v>
      </c>
      <c r="R127" s="32">
        <f t="shared" si="44"/>
        <v>0</v>
      </c>
      <c r="S127" s="32">
        <f t="shared" si="45"/>
        <v>0</v>
      </c>
    </row>
    <row r="128" spans="1:19" x14ac:dyDescent="0.25">
      <c r="A128" s="120" t="s">
        <v>291</v>
      </c>
      <c r="B128" s="116" t="s">
        <v>272</v>
      </c>
      <c r="C128" s="121" t="s">
        <v>273</v>
      </c>
      <c r="D128" s="91">
        <v>1.1499999999999999</v>
      </c>
      <c r="E128" s="120" t="s">
        <v>225</v>
      </c>
      <c r="F128" s="123">
        <f t="shared" si="40"/>
        <v>2017.59</v>
      </c>
      <c r="G128" s="88">
        <f>(G124-G119)*D128</f>
        <v>295.73</v>
      </c>
      <c r="H128" s="88">
        <f>(H124-H119)*D128</f>
        <v>276.05</v>
      </c>
      <c r="I128" s="88">
        <f>(I124-I119)*D128</f>
        <v>276.05</v>
      </c>
      <c r="J128" s="88">
        <f>(J124-J119)*D128</f>
        <v>307.72000000000003</v>
      </c>
      <c r="K128" s="88">
        <f>(K124-K119)*D128</f>
        <v>276.06</v>
      </c>
      <c r="L128" s="88">
        <f>(L124-L119)*D128</f>
        <v>308.94</v>
      </c>
      <c r="M128" s="88">
        <f>(M124-M119)*D128</f>
        <v>277.04000000000002</v>
      </c>
      <c r="N128" s="29"/>
      <c r="O128" s="29"/>
      <c r="P128" s="86">
        <f>VLOOKUP(B128,'Форма КП'!$B$25:$G$47,5,FALSE)</f>
        <v>0</v>
      </c>
      <c r="Q128" s="86">
        <f t="shared" si="43"/>
        <v>0</v>
      </c>
      <c r="R128" s="32">
        <f t="shared" si="44"/>
        <v>0</v>
      </c>
      <c r="S128" s="32">
        <f t="shared" si="45"/>
        <v>0</v>
      </c>
    </row>
    <row r="129" spans="1:19" x14ac:dyDescent="0.25">
      <c r="A129" s="107" t="s">
        <v>292</v>
      </c>
      <c r="B129" s="108"/>
      <c r="C129" s="109"/>
      <c r="D129" s="110"/>
      <c r="E129" s="111"/>
      <c r="F129" s="112"/>
      <c r="G129" s="113"/>
      <c r="H129" s="113"/>
      <c r="I129" s="113"/>
      <c r="J129" s="113"/>
      <c r="K129" s="113"/>
      <c r="L129" s="113"/>
      <c r="M129" s="113"/>
      <c r="N129" s="33"/>
      <c r="O129" s="33"/>
      <c r="P129" s="33"/>
      <c r="Q129" s="33"/>
      <c r="R129" s="33"/>
      <c r="S129" s="31"/>
    </row>
    <row r="130" spans="1:19" x14ac:dyDescent="0.25">
      <c r="A130" s="114" t="s">
        <v>223</v>
      </c>
      <c r="B130" s="108"/>
      <c r="C130" s="109"/>
      <c r="D130" s="110"/>
      <c r="E130" s="111"/>
      <c r="F130" s="112"/>
      <c r="G130" s="113"/>
      <c r="H130" s="113"/>
      <c r="I130" s="113"/>
      <c r="J130" s="113"/>
      <c r="K130" s="113"/>
      <c r="L130" s="113"/>
      <c r="M130" s="113"/>
      <c r="N130" s="33"/>
      <c r="O130" s="33"/>
      <c r="P130" s="33"/>
      <c r="Q130" s="33"/>
      <c r="R130" s="33"/>
      <c r="S130" s="31"/>
    </row>
    <row r="131" spans="1:19" ht="168" x14ac:dyDescent="0.25">
      <c r="A131" s="115" t="s">
        <v>293</v>
      </c>
      <c r="B131" s="116" t="s">
        <v>264</v>
      </c>
      <c r="C131" s="117" t="s">
        <v>530</v>
      </c>
      <c r="D131" s="118"/>
      <c r="E131" s="115" t="s">
        <v>225</v>
      </c>
      <c r="F131" s="119">
        <f t="shared" ref="F131:F144" si="46">SUM(G131:M131)</f>
        <v>359.27</v>
      </c>
      <c r="G131" s="105">
        <v>68.44</v>
      </c>
      <c r="H131" s="105">
        <v>43.48</v>
      </c>
      <c r="I131" s="105">
        <v>43.52</v>
      </c>
      <c r="J131" s="105">
        <v>58.02</v>
      </c>
      <c r="K131" s="105">
        <v>43.39</v>
      </c>
      <c r="L131" s="105">
        <v>59.05</v>
      </c>
      <c r="M131" s="105">
        <v>43.37</v>
      </c>
      <c r="N131" s="106">
        <f>VLOOKUP(B131,'Форма КП'!$B$17:$G$23,5,FALSE)</f>
        <v>0</v>
      </c>
      <c r="O131" s="106">
        <f>N131*F131</f>
        <v>0</v>
      </c>
      <c r="P131" s="106"/>
      <c r="Q131" s="106"/>
      <c r="R131" s="106">
        <f>N131</f>
        <v>0</v>
      </c>
      <c r="S131" s="106">
        <f>N131*F131</f>
        <v>0</v>
      </c>
    </row>
    <row r="132" spans="1:19" x14ac:dyDescent="0.25">
      <c r="A132" s="120" t="s">
        <v>294</v>
      </c>
      <c r="B132" s="116" t="s">
        <v>265</v>
      </c>
      <c r="C132" s="121" t="s">
        <v>266</v>
      </c>
      <c r="D132" s="91">
        <v>6.1199999999999997E-2</v>
      </c>
      <c r="E132" s="120" t="s">
        <v>267</v>
      </c>
      <c r="F132" s="125">
        <f t="shared" si="46"/>
        <v>21.986999999999998</v>
      </c>
      <c r="G132" s="89">
        <f>G131*D132</f>
        <v>4.1890000000000001</v>
      </c>
      <c r="H132" s="89">
        <f>H131*D132</f>
        <v>2.661</v>
      </c>
      <c r="I132" s="89">
        <f>I131*D132</f>
        <v>2.6629999999999998</v>
      </c>
      <c r="J132" s="89">
        <f>J131*D132</f>
        <v>3.5510000000000002</v>
      </c>
      <c r="K132" s="89">
        <f>K131*D132</f>
        <v>2.6549999999999998</v>
      </c>
      <c r="L132" s="89">
        <f>L131*D132</f>
        <v>3.6139999999999999</v>
      </c>
      <c r="M132" s="89">
        <f>M131*D132</f>
        <v>2.6539999999999999</v>
      </c>
      <c r="N132" s="29"/>
      <c r="O132" s="29"/>
      <c r="P132" s="86">
        <f>VLOOKUP(B132,'Форма КП'!$B$25:$G$47,5,FALSE)</f>
        <v>0</v>
      </c>
      <c r="Q132" s="86">
        <f t="shared" ref="Q132:Q134" si="47">P132*F132</f>
        <v>0</v>
      </c>
      <c r="R132" s="32">
        <f t="shared" ref="R132:R134" si="48">P132</f>
        <v>0</v>
      </c>
      <c r="S132" s="32">
        <f t="shared" ref="S132:S134" si="49">P132*F132</f>
        <v>0</v>
      </c>
    </row>
    <row r="133" spans="1:19" x14ac:dyDescent="0.25">
      <c r="A133" s="120" t="s">
        <v>295</v>
      </c>
      <c r="B133" s="116" t="s">
        <v>268</v>
      </c>
      <c r="C133" s="121" t="s">
        <v>269</v>
      </c>
      <c r="D133" s="91">
        <v>7.3440000000000005E-2</v>
      </c>
      <c r="E133" s="120" t="s">
        <v>231</v>
      </c>
      <c r="F133" s="123">
        <f t="shared" si="46"/>
        <v>26.4</v>
      </c>
      <c r="G133" s="88">
        <f>G131*D133</f>
        <v>5.03</v>
      </c>
      <c r="H133" s="88">
        <f>H131*D133</f>
        <v>3.19</v>
      </c>
      <c r="I133" s="88">
        <f>I131*D133</f>
        <v>3.2</v>
      </c>
      <c r="J133" s="88">
        <f>J131*D133</f>
        <v>4.26</v>
      </c>
      <c r="K133" s="88">
        <f>K131*D133</f>
        <v>3.19</v>
      </c>
      <c r="L133" s="88">
        <f>L131*D133</f>
        <v>4.34</v>
      </c>
      <c r="M133" s="88">
        <f>M131*D133</f>
        <v>3.19</v>
      </c>
      <c r="N133" s="29"/>
      <c r="O133" s="29"/>
      <c r="P133" s="86">
        <f>VLOOKUP(B133,'Форма КП'!$B$25:$G$47,5,FALSE)</f>
        <v>0</v>
      </c>
      <c r="Q133" s="86">
        <f t="shared" si="47"/>
        <v>0</v>
      </c>
      <c r="R133" s="32">
        <f t="shared" si="48"/>
        <v>0</v>
      </c>
      <c r="S133" s="32">
        <f t="shared" si="49"/>
        <v>0</v>
      </c>
    </row>
    <row r="134" spans="1:19" ht="36" x14ac:dyDescent="0.25">
      <c r="A134" s="120" t="s">
        <v>296</v>
      </c>
      <c r="B134" s="116" t="s">
        <v>270</v>
      </c>
      <c r="C134" s="121" t="s">
        <v>271</v>
      </c>
      <c r="D134" s="91" t="s">
        <v>518</v>
      </c>
      <c r="E134" s="120" t="s">
        <v>6</v>
      </c>
      <c r="F134" s="123">
        <f t="shared" si="46"/>
        <v>486.17</v>
      </c>
      <c r="G134" s="90">
        <f>(95.43-8.39)*1.1</f>
        <v>95.74</v>
      </c>
      <c r="H134" s="90">
        <f>(58.9-7.4)*1.1</f>
        <v>56.65</v>
      </c>
      <c r="I134" s="90">
        <f>(58.98-7.4)*1.1</f>
        <v>56.74</v>
      </c>
      <c r="J134" s="90">
        <f>(81.65-6.4)*1.1</f>
        <v>82.78</v>
      </c>
      <c r="K134" s="90">
        <f>(58.98-7.4)*1.1</f>
        <v>56.74</v>
      </c>
      <c r="L134" s="90">
        <f>(80.84-7.4)*1.1</f>
        <v>80.78</v>
      </c>
      <c r="M134" s="90">
        <f>(58.98-7.4)*1.1</f>
        <v>56.74</v>
      </c>
      <c r="N134" s="29"/>
      <c r="O134" s="29"/>
      <c r="P134" s="86">
        <f>VLOOKUP(B134,'Форма КП'!$B$25:$G$47,5,FALSE)</f>
        <v>0</v>
      </c>
      <c r="Q134" s="86">
        <f t="shared" si="47"/>
        <v>0</v>
      </c>
      <c r="R134" s="32">
        <f t="shared" si="48"/>
        <v>0</v>
      </c>
      <c r="S134" s="32">
        <f t="shared" si="49"/>
        <v>0</v>
      </c>
    </row>
    <row r="135" spans="1:19" ht="156" x14ac:dyDescent="0.25">
      <c r="A135" s="115" t="s">
        <v>297</v>
      </c>
      <c r="B135" s="116" t="s">
        <v>224</v>
      </c>
      <c r="C135" s="117" t="s">
        <v>525</v>
      </c>
      <c r="D135" s="118"/>
      <c r="E135" s="115" t="s">
        <v>225</v>
      </c>
      <c r="F135" s="119">
        <f t="shared" si="46"/>
        <v>330.45</v>
      </c>
      <c r="G135" s="105">
        <v>56.34</v>
      </c>
      <c r="H135" s="105">
        <v>43.25</v>
      </c>
      <c r="I135" s="105">
        <v>43.24</v>
      </c>
      <c r="J135" s="105">
        <v>50.72</v>
      </c>
      <c r="K135" s="105">
        <v>43.11</v>
      </c>
      <c r="L135" s="105">
        <v>50.7</v>
      </c>
      <c r="M135" s="105">
        <v>43.09</v>
      </c>
      <c r="N135" s="106">
        <f>VLOOKUP(B135,'Форма КП'!$B$17:$G$23,5,FALSE)</f>
        <v>0</v>
      </c>
      <c r="O135" s="106">
        <f>N135*F135</f>
        <v>0</v>
      </c>
      <c r="P135" s="106"/>
      <c r="Q135" s="106"/>
      <c r="R135" s="106">
        <f>N135</f>
        <v>0</v>
      </c>
      <c r="S135" s="106">
        <f>N135*F135</f>
        <v>0</v>
      </c>
    </row>
    <row r="136" spans="1:19" x14ac:dyDescent="0.25">
      <c r="A136" s="120" t="s">
        <v>298</v>
      </c>
      <c r="B136" s="116" t="s">
        <v>226</v>
      </c>
      <c r="C136" s="121" t="s">
        <v>227</v>
      </c>
      <c r="D136" s="91">
        <v>0.15</v>
      </c>
      <c r="E136" s="120" t="s">
        <v>228</v>
      </c>
      <c r="F136" s="123">
        <f t="shared" si="46"/>
        <v>49.58</v>
      </c>
      <c r="G136" s="88">
        <f>G135*D136</f>
        <v>8.4499999999999993</v>
      </c>
      <c r="H136" s="88">
        <f>H135*D136</f>
        <v>6.49</v>
      </c>
      <c r="I136" s="88">
        <f>I135*D136</f>
        <v>6.49</v>
      </c>
      <c r="J136" s="88">
        <f>J135*D136</f>
        <v>7.61</v>
      </c>
      <c r="K136" s="88">
        <f>K135*D136</f>
        <v>6.47</v>
      </c>
      <c r="L136" s="88">
        <f>L135*D136</f>
        <v>7.61</v>
      </c>
      <c r="M136" s="88">
        <f>M135*D136</f>
        <v>6.46</v>
      </c>
      <c r="N136" s="29"/>
      <c r="O136" s="29"/>
      <c r="P136" s="49" t="str">
        <f>VLOOKUP(B136,'Форма КП'!$B$25:$G$47,5,FALSE)</f>
        <v>Материал заказчика</v>
      </c>
      <c r="Q136" s="50"/>
      <c r="R136" s="49" t="str">
        <f t="shared" ref="R136:R139" si="50">P136</f>
        <v>Материал заказчика</v>
      </c>
      <c r="S136" s="50"/>
    </row>
    <row r="137" spans="1:19" x14ac:dyDescent="0.25">
      <c r="A137" s="120" t="s">
        <v>299</v>
      </c>
      <c r="B137" s="116" t="s">
        <v>229</v>
      </c>
      <c r="C137" s="121" t="s">
        <v>230</v>
      </c>
      <c r="D137" s="91">
        <v>8</v>
      </c>
      <c r="E137" s="120" t="s">
        <v>231</v>
      </c>
      <c r="F137" s="123">
        <f t="shared" si="46"/>
        <v>2643.6</v>
      </c>
      <c r="G137" s="88">
        <f>G135*D137</f>
        <v>450.72</v>
      </c>
      <c r="H137" s="88">
        <f>H135*D137</f>
        <v>346</v>
      </c>
      <c r="I137" s="88">
        <f>I135*D137</f>
        <v>345.92</v>
      </c>
      <c r="J137" s="88">
        <f>J135*D137</f>
        <v>405.76</v>
      </c>
      <c r="K137" s="88">
        <f>K135*D137</f>
        <v>344.88</v>
      </c>
      <c r="L137" s="88">
        <f>L135*D137</f>
        <v>405.6</v>
      </c>
      <c r="M137" s="88">
        <f>M135*D137</f>
        <v>344.72</v>
      </c>
      <c r="N137" s="29"/>
      <c r="O137" s="29"/>
      <c r="P137" s="49" t="str">
        <f>VLOOKUP(B137,'Форма КП'!$B$25:$G$47,5,FALSE)</f>
        <v>Материал заказчика</v>
      </c>
      <c r="Q137" s="50"/>
      <c r="R137" s="49" t="str">
        <f t="shared" si="50"/>
        <v>Материал заказчика</v>
      </c>
      <c r="S137" s="50"/>
    </row>
    <row r="138" spans="1:19" x14ac:dyDescent="0.25">
      <c r="A138" s="120" t="s">
        <v>300</v>
      </c>
      <c r="B138" s="116" t="s">
        <v>232</v>
      </c>
      <c r="C138" s="121" t="s">
        <v>233</v>
      </c>
      <c r="D138" s="91">
        <v>0.2</v>
      </c>
      <c r="E138" s="120" t="s">
        <v>231</v>
      </c>
      <c r="F138" s="123">
        <f t="shared" si="46"/>
        <v>66.09</v>
      </c>
      <c r="G138" s="88">
        <f>G135*D138</f>
        <v>11.27</v>
      </c>
      <c r="H138" s="88">
        <f>H135*D138</f>
        <v>8.65</v>
      </c>
      <c r="I138" s="88">
        <f>I135*D138</f>
        <v>8.65</v>
      </c>
      <c r="J138" s="88">
        <f>J135*D138</f>
        <v>10.14</v>
      </c>
      <c r="K138" s="88">
        <f>K135*D138</f>
        <v>8.6199999999999992</v>
      </c>
      <c r="L138" s="88">
        <f>L135*D138</f>
        <v>10.14</v>
      </c>
      <c r="M138" s="88">
        <f>M135*D138</f>
        <v>8.6199999999999992</v>
      </c>
      <c r="N138" s="29"/>
      <c r="O138" s="29"/>
      <c r="P138" s="49" t="str">
        <f>VLOOKUP(B138,'Форма КП'!$B$25:$G$47,5,FALSE)</f>
        <v>Материал заказчика</v>
      </c>
      <c r="Q138" s="50"/>
      <c r="R138" s="49" t="str">
        <f t="shared" si="50"/>
        <v>Материал заказчика</v>
      </c>
      <c r="S138" s="50"/>
    </row>
    <row r="139" spans="1:19" x14ac:dyDescent="0.25">
      <c r="A139" s="120" t="s">
        <v>301</v>
      </c>
      <c r="B139" s="116" t="s">
        <v>276</v>
      </c>
      <c r="C139" s="121" t="s">
        <v>277</v>
      </c>
      <c r="D139" s="91">
        <v>1.05</v>
      </c>
      <c r="E139" s="120" t="s">
        <v>225</v>
      </c>
      <c r="F139" s="123">
        <f t="shared" si="46"/>
        <v>346.98</v>
      </c>
      <c r="G139" s="88">
        <f>G135*D139</f>
        <v>59.16</v>
      </c>
      <c r="H139" s="88">
        <f>H135*D139</f>
        <v>45.41</v>
      </c>
      <c r="I139" s="88">
        <f>I135*D139</f>
        <v>45.4</v>
      </c>
      <c r="J139" s="88">
        <f>J135*D139</f>
        <v>53.26</v>
      </c>
      <c r="K139" s="88">
        <f>K135*D139</f>
        <v>45.27</v>
      </c>
      <c r="L139" s="88">
        <f>L135*D139</f>
        <v>53.24</v>
      </c>
      <c r="M139" s="88">
        <f>M135*D139</f>
        <v>45.24</v>
      </c>
      <c r="N139" s="29"/>
      <c r="O139" s="29"/>
      <c r="P139" s="49" t="str">
        <f>VLOOKUP(B139,'Форма КП'!$B$25:$G$47,5,FALSE)</f>
        <v>Материал заказчика</v>
      </c>
      <c r="Q139" s="50"/>
      <c r="R139" s="49" t="str">
        <f t="shared" si="50"/>
        <v>Материал заказчика</v>
      </c>
      <c r="S139" s="50"/>
    </row>
    <row r="140" spans="1:19" ht="168" x14ac:dyDescent="0.25">
      <c r="A140" s="115" t="s">
        <v>302</v>
      </c>
      <c r="B140" s="116" t="s">
        <v>251</v>
      </c>
      <c r="C140" s="117" t="s">
        <v>527</v>
      </c>
      <c r="D140" s="118"/>
      <c r="E140" s="115" t="s">
        <v>6</v>
      </c>
      <c r="F140" s="119">
        <f t="shared" si="46"/>
        <v>335.67</v>
      </c>
      <c r="G140" s="105">
        <v>55.77</v>
      </c>
      <c r="H140" s="105">
        <v>44.58</v>
      </c>
      <c r="I140" s="105">
        <v>44.58</v>
      </c>
      <c r="J140" s="105">
        <v>50.74</v>
      </c>
      <c r="K140" s="105">
        <v>44.49</v>
      </c>
      <c r="L140" s="105">
        <v>51.01</v>
      </c>
      <c r="M140" s="105">
        <v>44.5</v>
      </c>
      <c r="N140" s="106">
        <f>VLOOKUP(B140,'Форма КП'!$B$17:$G$23,5,FALSE)</f>
        <v>0</v>
      </c>
      <c r="O140" s="106">
        <f>N140*F140</f>
        <v>0</v>
      </c>
      <c r="P140" s="106"/>
      <c r="Q140" s="106"/>
      <c r="R140" s="106">
        <f>N140</f>
        <v>0</v>
      </c>
      <c r="S140" s="106">
        <f>N140*F140</f>
        <v>0</v>
      </c>
    </row>
    <row r="141" spans="1:19" x14ac:dyDescent="0.25">
      <c r="A141" s="120" t="s">
        <v>303</v>
      </c>
      <c r="B141" s="116" t="s">
        <v>252</v>
      </c>
      <c r="C141" s="121" t="s">
        <v>227</v>
      </c>
      <c r="D141" s="91">
        <v>1.4999999999999999E-2</v>
      </c>
      <c r="E141" s="120" t="s">
        <v>231</v>
      </c>
      <c r="F141" s="123">
        <f t="shared" si="46"/>
        <v>5.05</v>
      </c>
      <c r="G141" s="88">
        <f>G140*D141</f>
        <v>0.84</v>
      </c>
      <c r="H141" s="88">
        <f>H140*D141</f>
        <v>0.67</v>
      </c>
      <c r="I141" s="88">
        <f>I140*D141</f>
        <v>0.67</v>
      </c>
      <c r="J141" s="88">
        <f>J140*D141</f>
        <v>0.76</v>
      </c>
      <c r="K141" s="88">
        <f>K140*D141</f>
        <v>0.67</v>
      </c>
      <c r="L141" s="88">
        <f>L140*D141</f>
        <v>0.77</v>
      </c>
      <c r="M141" s="88">
        <f>M140*D141</f>
        <v>0.67</v>
      </c>
      <c r="N141" s="29"/>
      <c r="O141" s="29"/>
      <c r="P141" s="49" t="str">
        <f>VLOOKUP(B141,'Форма КП'!$B$25:$G$47,5,FALSE)</f>
        <v>Материал заказчика</v>
      </c>
      <c r="Q141" s="50"/>
      <c r="R141" s="49" t="str">
        <f t="shared" ref="R141:R144" si="51">P141</f>
        <v>Материал заказчика</v>
      </c>
      <c r="S141" s="50"/>
    </row>
    <row r="142" spans="1:19" x14ac:dyDescent="0.25">
      <c r="A142" s="120" t="s">
        <v>304</v>
      </c>
      <c r="B142" s="116" t="s">
        <v>229</v>
      </c>
      <c r="C142" s="121" t="s">
        <v>230</v>
      </c>
      <c r="D142" s="91">
        <v>0.8</v>
      </c>
      <c r="E142" s="120" t="s">
        <v>231</v>
      </c>
      <c r="F142" s="123">
        <f t="shared" si="46"/>
        <v>268.52999999999997</v>
      </c>
      <c r="G142" s="88">
        <f>G140*D142</f>
        <v>44.62</v>
      </c>
      <c r="H142" s="88">
        <f>H140*D142</f>
        <v>35.659999999999997</v>
      </c>
      <c r="I142" s="88">
        <f>I140*D142</f>
        <v>35.659999999999997</v>
      </c>
      <c r="J142" s="88">
        <f>J140*D142</f>
        <v>40.590000000000003</v>
      </c>
      <c r="K142" s="88">
        <f>K140*D142</f>
        <v>35.590000000000003</v>
      </c>
      <c r="L142" s="88">
        <f>L140*D142</f>
        <v>40.81</v>
      </c>
      <c r="M142" s="88">
        <f>M140*D142</f>
        <v>35.6</v>
      </c>
      <c r="N142" s="29"/>
      <c r="O142" s="29"/>
      <c r="P142" s="49" t="str">
        <f>VLOOKUP(B142,'Форма КП'!$B$25:$G$47,5,FALSE)</f>
        <v>Материал заказчика</v>
      </c>
      <c r="Q142" s="50"/>
      <c r="R142" s="49" t="str">
        <f t="shared" si="51"/>
        <v>Материал заказчика</v>
      </c>
      <c r="S142" s="50"/>
    </row>
    <row r="143" spans="1:19" x14ac:dyDescent="0.25">
      <c r="A143" s="120" t="s">
        <v>305</v>
      </c>
      <c r="B143" s="116" t="s">
        <v>232</v>
      </c>
      <c r="C143" s="121" t="s">
        <v>233</v>
      </c>
      <c r="D143" s="91">
        <v>0.02</v>
      </c>
      <c r="E143" s="120" t="s">
        <v>231</v>
      </c>
      <c r="F143" s="123">
        <f t="shared" si="46"/>
        <v>6.71</v>
      </c>
      <c r="G143" s="88">
        <f>G140*D143</f>
        <v>1.1200000000000001</v>
      </c>
      <c r="H143" s="88">
        <f>H140*D143</f>
        <v>0.89</v>
      </c>
      <c r="I143" s="88">
        <f>I140*D143</f>
        <v>0.89</v>
      </c>
      <c r="J143" s="88">
        <f>J140*D143</f>
        <v>1.01</v>
      </c>
      <c r="K143" s="88">
        <f>K140*D143</f>
        <v>0.89</v>
      </c>
      <c r="L143" s="88">
        <f>L140*D143</f>
        <v>1.02</v>
      </c>
      <c r="M143" s="88">
        <f>M140*D143</f>
        <v>0.89</v>
      </c>
      <c r="N143" s="29"/>
      <c r="O143" s="29"/>
      <c r="P143" s="49" t="str">
        <f>VLOOKUP(B143,'Форма КП'!$B$25:$G$47,5,FALSE)</f>
        <v>Материал заказчика</v>
      </c>
      <c r="Q143" s="50"/>
      <c r="R143" s="49" t="str">
        <f t="shared" si="51"/>
        <v>Материал заказчика</v>
      </c>
      <c r="S143" s="50"/>
    </row>
    <row r="144" spans="1:19" ht="24" x14ac:dyDescent="0.25">
      <c r="A144" s="120" t="s">
        <v>306</v>
      </c>
      <c r="B144" s="116" t="s">
        <v>253</v>
      </c>
      <c r="C144" s="121" t="s">
        <v>254</v>
      </c>
      <c r="D144" s="91">
        <v>0.11</v>
      </c>
      <c r="E144" s="120" t="s">
        <v>225</v>
      </c>
      <c r="F144" s="123">
        <f t="shared" si="46"/>
        <v>36.909999999999997</v>
      </c>
      <c r="G144" s="88">
        <f>G140*D144</f>
        <v>6.13</v>
      </c>
      <c r="H144" s="88">
        <f>H140*D144</f>
        <v>4.9000000000000004</v>
      </c>
      <c r="I144" s="88">
        <f>I140*D144</f>
        <v>4.9000000000000004</v>
      </c>
      <c r="J144" s="88">
        <f>J140*D144</f>
        <v>5.58</v>
      </c>
      <c r="K144" s="88">
        <f>K140*D144</f>
        <v>4.8899999999999997</v>
      </c>
      <c r="L144" s="88">
        <f>L140*D144</f>
        <v>5.61</v>
      </c>
      <c r="M144" s="88">
        <f>M140*D144</f>
        <v>4.9000000000000004</v>
      </c>
      <c r="N144" s="29"/>
      <c r="O144" s="29"/>
      <c r="P144" s="49" t="str">
        <f>VLOOKUP(B144,'Форма КП'!$B$25:$G$47,5,FALSE)</f>
        <v>Материал заказчика</v>
      </c>
      <c r="Q144" s="50"/>
      <c r="R144" s="49" t="str">
        <f t="shared" si="51"/>
        <v>Материал заказчика</v>
      </c>
      <c r="S144" s="50"/>
    </row>
    <row r="145" spans="1:19" x14ac:dyDescent="0.25">
      <c r="A145" s="114" t="s">
        <v>278</v>
      </c>
      <c r="B145" s="108"/>
      <c r="C145" s="109"/>
      <c r="D145" s="110"/>
      <c r="E145" s="111"/>
      <c r="F145" s="112"/>
      <c r="G145" s="113"/>
      <c r="H145" s="113"/>
      <c r="I145" s="113"/>
      <c r="J145" s="113"/>
      <c r="K145" s="113"/>
      <c r="L145" s="113"/>
      <c r="M145" s="113"/>
      <c r="N145" s="33"/>
      <c r="O145" s="33"/>
      <c r="P145" s="33"/>
      <c r="Q145" s="33"/>
      <c r="R145" s="33"/>
      <c r="S145" s="31"/>
    </row>
    <row r="146" spans="1:19" ht="180" x14ac:dyDescent="0.25">
      <c r="A146" s="115" t="s">
        <v>307</v>
      </c>
      <c r="B146" s="116" t="s">
        <v>259</v>
      </c>
      <c r="C146" s="117" t="s">
        <v>529</v>
      </c>
      <c r="D146" s="118"/>
      <c r="E146" s="115" t="s">
        <v>225</v>
      </c>
      <c r="F146" s="119">
        <f t="shared" ref="F146:F155" si="52">SUM(G146:M146)</f>
        <v>320.44</v>
      </c>
      <c r="G146" s="105">
        <v>45.44</v>
      </c>
      <c r="H146" s="105">
        <v>46.51</v>
      </c>
      <c r="I146" s="105">
        <v>46.51</v>
      </c>
      <c r="J146" s="105">
        <v>47.88</v>
      </c>
      <c r="K146" s="105">
        <v>46.5</v>
      </c>
      <c r="L146" s="105">
        <v>44.6</v>
      </c>
      <c r="M146" s="105">
        <v>43</v>
      </c>
      <c r="N146" s="106">
        <f>VLOOKUP(B146,'Форма КП'!$B$17:$G$23,5,FALSE)</f>
        <v>0</v>
      </c>
      <c r="O146" s="106">
        <f>N146*F146</f>
        <v>0</v>
      </c>
      <c r="P146" s="106"/>
      <c r="Q146" s="106"/>
      <c r="R146" s="106">
        <f>N146</f>
        <v>0</v>
      </c>
      <c r="S146" s="106">
        <f>N146*F146</f>
        <v>0</v>
      </c>
    </row>
    <row r="147" spans="1:19" x14ac:dyDescent="0.25">
      <c r="A147" s="120" t="s">
        <v>308</v>
      </c>
      <c r="B147" s="116" t="s">
        <v>260</v>
      </c>
      <c r="C147" s="121" t="s">
        <v>261</v>
      </c>
      <c r="D147" s="122">
        <v>5</v>
      </c>
      <c r="E147" s="120" t="s">
        <v>231</v>
      </c>
      <c r="F147" s="123">
        <f t="shared" si="52"/>
        <v>1602.2</v>
      </c>
      <c r="G147" s="88">
        <f>G146*D147</f>
        <v>227.2</v>
      </c>
      <c r="H147" s="88">
        <f>H146*D147</f>
        <v>232.55</v>
      </c>
      <c r="I147" s="88">
        <f>I146*D147</f>
        <v>232.55</v>
      </c>
      <c r="J147" s="88">
        <f>J146*D147</f>
        <v>239.4</v>
      </c>
      <c r="K147" s="88">
        <f>K146*D147</f>
        <v>232.5</v>
      </c>
      <c r="L147" s="88">
        <f>L146*D147</f>
        <v>223</v>
      </c>
      <c r="M147" s="88">
        <f>M146*D147</f>
        <v>215</v>
      </c>
      <c r="N147" s="29"/>
      <c r="O147" s="29"/>
      <c r="P147" s="49" t="str">
        <f>VLOOKUP(B147,'Форма КП'!$B$25:$G$47,5,FALSE)</f>
        <v>Материал заказчика</v>
      </c>
      <c r="Q147" s="50"/>
      <c r="R147" s="49" t="str">
        <f t="shared" ref="R147:R148" si="53">P147</f>
        <v>Материал заказчика</v>
      </c>
      <c r="S147" s="50"/>
    </row>
    <row r="148" spans="1:19" x14ac:dyDescent="0.25">
      <c r="A148" s="120" t="s">
        <v>309</v>
      </c>
      <c r="B148" s="116" t="s">
        <v>262</v>
      </c>
      <c r="C148" s="121" t="s">
        <v>263</v>
      </c>
      <c r="D148" s="122" t="s">
        <v>518</v>
      </c>
      <c r="E148" s="120" t="s">
        <v>225</v>
      </c>
      <c r="F148" s="123">
        <f t="shared" si="52"/>
        <v>130.08000000000001</v>
      </c>
      <c r="G148" s="88">
        <f>54.02*0.3*1.15</f>
        <v>18.64</v>
      </c>
      <c r="H148" s="88">
        <f>53.51*0.3*1.15</f>
        <v>18.46</v>
      </c>
      <c r="I148" s="88">
        <f>53.51*0.3*1.15</f>
        <v>18.46</v>
      </c>
      <c r="J148" s="88">
        <f>58*0.3*1.15</f>
        <v>20.010000000000002</v>
      </c>
      <c r="K148" s="88">
        <f>53.51*0.3*1.15</f>
        <v>18.46</v>
      </c>
      <c r="L148" s="88">
        <f>54.3*0.3*1.15</f>
        <v>18.73</v>
      </c>
      <c r="M148" s="88">
        <f>50.2*0.3*1.15</f>
        <v>17.32</v>
      </c>
      <c r="N148" s="29"/>
      <c r="O148" s="29"/>
      <c r="P148" s="49" t="str">
        <f>VLOOKUP(B148,'Форма КП'!$B$25:$G$47,5,FALSE)</f>
        <v>Материал заказчика</v>
      </c>
      <c r="Q148" s="50"/>
      <c r="R148" s="49" t="str">
        <f t="shared" si="53"/>
        <v>Материал заказчика</v>
      </c>
      <c r="S148" s="50"/>
    </row>
    <row r="149" spans="1:19" ht="144" x14ac:dyDescent="0.25">
      <c r="A149" s="115" t="s">
        <v>310</v>
      </c>
      <c r="B149" s="116" t="s">
        <v>280</v>
      </c>
      <c r="C149" s="117" t="s">
        <v>531</v>
      </c>
      <c r="D149" s="118"/>
      <c r="E149" s="115" t="s">
        <v>225</v>
      </c>
      <c r="F149" s="119">
        <f t="shared" si="52"/>
        <v>2074.85</v>
      </c>
      <c r="G149" s="105">
        <v>302.60000000000002</v>
      </c>
      <c r="H149" s="105">
        <v>286.55</v>
      </c>
      <c r="I149" s="105">
        <v>286.55</v>
      </c>
      <c r="J149" s="105">
        <v>315.45999999999998</v>
      </c>
      <c r="K149" s="105">
        <v>286.55</v>
      </c>
      <c r="L149" s="105">
        <v>313.24</v>
      </c>
      <c r="M149" s="105">
        <v>283.89999999999998</v>
      </c>
      <c r="N149" s="106">
        <f>VLOOKUP(B149,'Форма КП'!$B$17:$G$23,5,FALSE)</f>
        <v>0</v>
      </c>
      <c r="O149" s="106">
        <f>N149*F149</f>
        <v>0</v>
      </c>
      <c r="P149" s="106"/>
      <c r="Q149" s="106"/>
      <c r="R149" s="106">
        <f>N149</f>
        <v>0</v>
      </c>
      <c r="S149" s="106">
        <f>N149*F149</f>
        <v>0</v>
      </c>
    </row>
    <row r="150" spans="1:19" x14ac:dyDescent="0.25">
      <c r="A150" s="120" t="s">
        <v>311</v>
      </c>
      <c r="B150" s="116" t="s">
        <v>281</v>
      </c>
      <c r="C150" s="121" t="s">
        <v>282</v>
      </c>
      <c r="D150" s="122">
        <v>1.1499999999999999</v>
      </c>
      <c r="E150" s="120" t="s">
        <v>225</v>
      </c>
      <c r="F150" s="123">
        <f t="shared" si="52"/>
        <v>2386.08</v>
      </c>
      <c r="G150" s="88">
        <f>G149*D150</f>
        <v>347.99</v>
      </c>
      <c r="H150" s="88">
        <f>H149*D150</f>
        <v>329.53</v>
      </c>
      <c r="I150" s="88">
        <f>I149*D150</f>
        <v>329.53</v>
      </c>
      <c r="J150" s="88">
        <f>J149*D150</f>
        <v>362.78</v>
      </c>
      <c r="K150" s="88">
        <f>K149*D150</f>
        <v>329.53</v>
      </c>
      <c r="L150" s="88">
        <f>L149*D150</f>
        <v>360.23</v>
      </c>
      <c r="M150" s="88">
        <f>M149*D150</f>
        <v>326.49</v>
      </c>
      <c r="N150" s="29"/>
      <c r="O150" s="29"/>
      <c r="P150" s="49" t="str">
        <f>VLOOKUP(B150,'Форма КП'!$B$25:$G$47,5,FALSE)</f>
        <v>Материал заказчика</v>
      </c>
      <c r="Q150" s="50"/>
      <c r="R150" s="49" t="str">
        <f t="shared" ref="R150" si="54">P150</f>
        <v>Материал заказчика</v>
      </c>
      <c r="S150" s="50"/>
    </row>
    <row r="151" spans="1:19" ht="168" x14ac:dyDescent="0.25">
      <c r="A151" s="115" t="s">
        <v>312</v>
      </c>
      <c r="B151" s="116" t="s">
        <v>264</v>
      </c>
      <c r="C151" s="117" t="s">
        <v>530</v>
      </c>
      <c r="D151" s="118"/>
      <c r="E151" s="115" t="s">
        <v>225</v>
      </c>
      <c r="F151" s="119">
        <f t="shared" si="52"/>
        <v>2074.85</v>
      </c>
      <c r="G151" s="105">
        <v>302.60000000000002</v>
      </c>
      <c r="H151" s="105">
        <v>286.55</v>
      </c>
      <c r="I151" s="105">
        <v>286.55</v>
      </c>
      <c r="J151" s="105">
        <v>315.45999999999998</v>
      </c>
      <c r="K151" s="105">
        <v>286.55</v>
      </c>
      <c r="L151" s="105">
        <v>313.24</v>
      </c>
      <c r="M151" s="105">
        <v>283.89999999999998</v>
      </c>
      <c r="N151" s="106">
        <f>VLOOKUP(B151,'Форма КП'!$B$17:$G$23,5,FALSE)</f>
        <v>0</v>
      </c>
      <c r="O151" s="106">
        <f>N151*F151</f>
        <v>0</v>
      </c>
      <c r="P151" s="106"/>
      <c r="Q151" s="106"/>
      <c r="R151" s="106">
        <f>N151</f>
        <v>0</v>
      </c>
      <c r="S151" s="106">
        <f>N151*F151</f>
        <v>0</v>
      </c>
    </row>
    <row r="152" spans="1:19" x14ac:dyDescent="0.25">
      <c r="A152" s="120" t="s">
        <v>313</v>
      </c>
      <c r="B152" s="116" t="s">
        <v>265</v>
      </c>
      <c r="C152" s="121" t="s">
        <v>266</v>
      </c>
      <c r="D152" s="91">
        <v>6.1199999999999997E-2</v>
      </c>
      <c r="E152" s="120" t="s">
        <v>267</v>
      </c>
      <c r="F152" s="125">
        <f t="shared" si="52"/>
        <v>126.98099999999999</v>
      </c>
      <c r="G152" s="89">
        <f>G151*D152</f>
        <v>18.518999999999998</v>
      </c>
      <c r="H152" s="89">
        <f>H151*D152</f>
        <v>17.536999999999999</v>
      </c>
      <c r="I152" s="89">
        <f>I151*D152</f>
        <v>17.536999999999999</v>
      </c>
      <c r="J152" s="89">
        <f>J151*D152</f>
        <v>19.306000000000001</v>
      </c>
      <c r="K152" s="89">
        <f>K151*D152</f>
        <v>17.536999999999999</v>
      </c>
      <c r="L152" s="89">
        <f>L151*D152</f>
        <v>19.170000000000002</v>
      </c>
      <c r="M152" s="89">
        <f>M151*D152</f>
        <v>17.375</v>
      </c>
      <c r="N152" s="29"/>
      <c r="O152" s="29"/>
      <c r="P152" s="86">
        <f>VLOOKUP(B152,'Форма КП'!$B$25:$G$47,5,FALSE)</f>
        <v>0</v>
      </c>
      <c r="Q152" s="86">
        <f t="shared" ref="Q152:Q155" si="55">P152*F152</f>
        <v>0</v>
      </c>
      <c r="R152" s="32">
        <f t="shared" ref="R152:R155" si="56">P152</f>
        <v>0</v>
      </c>
      <c r="S152" s="32">
        <f t="shared" ref="S152:S155" si="57">P152*F152</f>
        <v>0</v>
      </c>
    </row>
    <row r="153" spans="1:19" x14ac:dyDescent="0.25">
      <c r="A153" s="120" t="s">
        <v>314</v>
      </c>
      <c r="B153" s="116" t="s">
        <v>268</v>
      </c>
      <c r="C153" s="121" t="s">
        <v>269</v>
      </c>
      <c r="D153" s="91">
        <v>7.3440000000000005E-2</v>
      </c>
      <c r="E153" s="120" t="s">
        <v>231</v>
      </c>
      <c r="F153" s="123">
        <f t="shared" si="52"/>
        <v>152.36000000000001</v>
      </c>
      <c r="G153" s="88">
        <f>G151*D153</f>
        <v>22.22</v>
      </c>
      <c r="H153" s="88">
        <f>H151*D153</f>
        <v>21.04</v>
      </c>
      <c r="I153" s="88">
        <f>I151*D153</f>
        <v>21.04</v>
      </c>
      <c r="J153" s="88">
        <f>J151*D153</f>
        <v>23.17</v>
      </c>
      <c r="K153" s="88">
        <f>K151*D153</f>
        <v>21.04</v>
      </c>
      <c r="L153" s="88">
        <f>L151*D153</f>
        <v>23</v>
      </c>
      <c r="M153" s="88">
        <f>M151*D153</f>
        <v>20.85</v>
      </c>
      <c r="N153" s="29"/>
      <c r="O153" s="29"/>
      <c r="P153" s="86">
        <f>VLOOKUP(B153,'Форма КП'!$B$25:$G$47,5,FALSE)</f>
        <v>0</v>
      </c>
      <c r="Q153" s="86">
        <f t="shared" si="55"/>
        <v>0</v>
      </c>
      <c r="R153" s="32">
        <f t="shared" si="56"/>
        <v>0</v>
      </c>
      <c r="S153" s="32">
        <f t="shared" si="57"/>
        <v>0</v>
      </c>
    </row>
    <row r="154" spans="1:19" ht="36" x14ac:dyDescent="0.25">
      <c r="A154" s="120" t="s">
        <v>315</v>
      </c>
      <c r="B154" s="116" t="s">
        <v>270</v>
      </c>
      <c r="C154" s="121" t="s">
        <v>271</v>
      </c>
      <c r="D154" s="91" t="s">
        <v>518</v>
      </c>
      <c r="E154" s="120" t="s">
        <v>6</v>
      </c>
      <c r="F154" s="123">
        <f t="shared" si="52"/>
        <v>2089.34</v>
      </c>
      <c r="G154" s="88">
        <f>290*1.1</f>
        <v>319</v>
      </c>
      <c r="H154" s="88">
        <f>256.7*1.1</f>
        <v>282.37</v>
      </c>
      <c r="I154" s="88">
        <f>256.7*1.1</f>
        <v>282.37</v>
      </c>
      <c r="J154" s="88">
        <f>293.3*1.1</f>
        <v>322.63</v>
      </c>
      <c r="K154" s="88">
        <f>246.7*1.1</f>
        <v>271.37</v>
      </c>
      <c r="L154" s="88">
        <f>300*1.1</f>
        <v>330</v>
      </c>
      <c r="M154" s="88">
        <f>256*1.1</f>
        <v>281.60000000000002</v>
      </c>
      <c r="N154" s="29"/>
      <c r="O154" s="29"/>
      <c r="P154" s="86">
        <f>VLOOKUP(B154,'Форма КП'!$B$25:$G$47,5,FALSE)</f>
        <v>0</v>
      </c>
      <c r="Q154" s="86">
        <f t="shared" si="55"/>
        <v>0</v>
      </c>
      <c r="R154" s="32">
        <f t="shared" si="56"/>
        <v>0</v>
      </c>
      <c r="S154" s="32">
        <f t="shared" si="57"/>
        <v>0</v>
      </c>
    </row>
    <row r="155" spans="1:19" x14ac:dyDescent="0.25">
      <c r="A155" s="120" t="s">
        <v>316</v>
      </c>
      <c r="B155" s="116" t="s">
        <v>272</v>
      </c>
      <c r="C155" s="121" t="s">
        <v>273</v>
      </c>
      <c r="D155" s="91">
        <v>1.1499999999999999</v>
      </c>
      <c r="E155" s="120" t="s">
        <v>225</v>
      </c>
      <c r="F155" s="123">
        <f t="shared" si="52"/>
        <v>2017.59</v>
      </c>
      <c r="G155" s="88">
        <f>(G151-G146)*D155</f>
        <v>295.73</v>
      </c>
      <c r="H155" s="88">
        <f>(H151-H146)*D155</f>
        <v>276.05</v>
      </c>
      <c r="I155" s="88">
        <f>(I151-I146)*D155</f>
        <v>276.05</v>
      </c>
      <c r="J155" s="88">
        <f>(J151-J146)*D155</f>
        <v>307.72000000000003</v>
      </c>
      <c r="K155" s="88">
        <f>(K151-K146)*D155</f>
        <v>276.06</v>
      </c>
      <c r="L155" s="88">
        <f>(L151-L146)*D155</f>
        <v>308.94</v>
      </c>
      <c r="M155" s="88">
        <f>(M151-M146)*D155</f>
        <v>277.04000000000002</v>
      </c>
      <c r="N155" s="29"/>
      <c r="O155" s="29"/>
      <c r="P155" s="86">
        <f>VLOOKUP(B155,'Форма КП'!$B$25:$G$47,5,FALSE)</f>
        <v>0</v>
      </c>
      <c r="Q155" s="86">
        <f t="shared" si="55"/>
        <v>0</v>
      </c>
      <c r="R155" s="32">
        <f t="shared" si="56"/>
        <v>0</v>
      </c>
      <c r="S155" s="32">
        <f t="shared" si="57"/>
        <v>0</v>
      </c>
    </row>
    <row r="156" spans="1:19" x14ac:dyDescent="0.25">
      <c r="A156" s="107" t="s">
        <v>317</v>
      </c>
      <c r="B156" s="108"/>
      <c r="C156" s="109"/>
      <c r="D156" s="110"/>
      <c r="E156" s="111"/>
      <c r="F156" s="112"/>
      <c r="G156" s="113"/>
      <c r="H156" s="113"/>
      <c r="I156" s="113"/>
      <c r="J156" s="113"/>
      <c r="K156" s="113"/>
      <c r="L156" s="113"/>
      <c r="M156" s="113"/>
      <c r="N156" s="33"/>
      <c r="O156" s="33"/>
      <c r="P156" s="33"/>
      <c r="Q156" s="33"/>
      <c r="R156" s="33"/>
      <c r="S156" s="31"/>
    </row>
    <row r="157" spans="1:19" x14ac:dyDescent="0.25">
      <c r="A157" s="114" t="s">
        <v>223</v>
      </c>
      <c r="B157" s="108"/>
      <c r="C157" s="109"/>
      <c r="D157" s="110"/>
      <c r="E157" s="111"/>
      <c r="F157" s="112"/>
      <c r="G157" s="113"/>
      <c r="H157" s="113"/>
      <c r="I157" s="113"/>
      <c r="J157" s="113"/>
      <c r="K157" s="113"/>
      <c r="L157" s="113"/>
      <c r="M157" s="113"/>
      <c r="N157" s="33"/>
      <c r="O157" s="33"/>
      <c r="P157" s="33"/>
      <c r="Q157" s="33"/>
      <c r="R157" s="33"/>
      <c r="S157" s="31"/>
    </row>
    <row r="158" spans="1:19" ht="168" x14ac:dyDescent="0.25">
      <c r="A158" s="115" t="s">
        <v>318</v>
      </c>
      <c r="B158" s="116" t="s">
        <v>264</v>
      </c>
      <c r="C158" s="117" t="s">
        <v>530</v>
      </c>
      <c r="D158" s="118"/>
      <c r="E158" s="115" t="s">
        <v>225</v>
      </c>
      <c r="F158" s="119">
        <f t="shared" ref="F158:F171" si="58">SUM(G158:M158)</f>
        <v>359.27</v>
      </c>
      <c r="G158" s="105">
        <v>68.44</v>
      </c>
      <c r="H158" s="105">
        <v>43.48</v>
      </c>
      <c r="I158" s="105">
        <v>43.52</v>
      </c>
      <c r="J158" s="105">
        <v>58.02</v>
      </c>
      <c r="K158" s="105">
        <v>43.39</v>
      </c>
      <c r="L158" s="105">
        <v>59.05</v>
      </c>
      <c r="M158" s="105">
        <v>43.37</v>
      </c>
      <c r="N158" s="106">
        <f>VLOOKUP(B158,'Форма КП'!$B$17:$G$23,5,FALSE)</f>
        <v>0</v>
      </c>
      <c r="O158" s="106">
        <f>N158*F158</f>
        <v>0</v>
      </c>
      <c r="P158" s="106"/>
      <c r="Q158" s="106"/>
      <c r="R158" s="106">
        <f>N158</f>
        <v>0</v>
      </c>
      <c r="S158" s="106">
        <f>N158*F158</f>
        <v>0</v>
      </c>
    </row>
    <row r="159" spans="1:19" x14ac:dyDescent="0.25">
      <c r="A159" s="120" t="s">
        <v>319</v>
      </c>
      <c r="B159" s="116" t="s">
        <v>265</v>
      </c>
      <c r="C159" s="121" t="s">
        <v>266</v>
      </c>
      <c r="D159" s="91">
        <v>6.1199999999999997E-2</v>
      </c>
      <c r="E159" s="120" t="s">
        <v>267</v>
      </c>
      <c r="F159" s="125">
        <f t="shared" si="58"/>
        <v>21.986999999999998</v>
      </c>
      <c r="G159" s="89">
        <f>G158*D159</f>
        <v>4.1890000000000001</v>
      </c>
      <c r="H159" s="89">
        <f>H158*D159</f>
        <v>2.661</v>
      </c>
      <c r="I159" s="89">
        <f>I158*D159</f>
        <v>2.6629999999999998</v>
      </c>
      <c r="J159" s="89">
        <f>J158*D159</f>
        <v>3.5510000000000002</v>
      </c>
      <c r="K159" s="89">
        <f>K158*D159</f>
        <v>2.6549999999999998</v>
      </c>
      <c r="L159" s="89">
        <f>L158*D159</f>
        <v>3.6139999999999999</v>
      </c>
      <c r="M159" s="89">
        <f>M158*D159</f>
        <v>2.6539999999999999</v>
      </c>
      <c r="N159" s="29"/>
      <c r="O159" s="29"/>
      <c r="P159" s="86">
        <f>VLOOKUP(B159,'Форма КП'!$B$25:$G$47,5,FALSE)</f>
        <v>0</v>
      </c>
      <c r="Q159" s="86">
        <f t="shared" ref="Q159:Q161" si="59">P159*F159</f>
        <v>0</v>
      </c>
      <c r="R159" s="32">
        <f t="shared" ref="R159:R161" si="60">P159</f>
        <v>0</v>
      </c>
      <c r="S159" s="32">
        <f t="shared" ref="S159:S161" si="61">P159*F159</f>
        <v>0</v>
      </c>
    </row>
    <row r="160" spans="1:19" x14ac:dyDescent="0.25">
      <c r="A160" s="120" t="s">
        <v>320</v>
      </c>
      <c r="B160" s="116" t="s">
        <v>268</v>
      </c>
      <c r="C160" s="121" t="s">
        <v>269</v>
      </c>
      <c r="D160" s="91">
        <v>7.3440000000000005E-2</v>
      </c>
      <c r="E160" s="120" t="s">
        <v>231</v>
      </c>
      <c r="F160" s="123">
        <f t="shared" si="58"/>
        <v>26.4</v>
      </c>
      <c r="G160" s="88">
        <f>G158*D160</f>
        <v>5.03</v>
      </c>
      <c r="H160" s="88">
        <f>H158*D160</f>
        <v>3.19</v>
      </c>
      <c r="I160" s="88">
        <f>I158*D160</f>
        <v>3.2</v>
      </c>
      <c r="J160" s="88">
        <f>J158*D160</f>
        <v>4.26</v>
      </c>
      <c r="K160" s="88">
        <f>K158*D160</f>
        <v>3.19</v>
      </c>
      <c r="L160" s="88">
        <f>L158*D160</f>
        <v>4.34</v>
      </c>
      <c r="M160" s="88">
        <f>M158*D160</f>
        <v>3.19</v>
      </c>
      <c r="N160" s="29"/>
      <c r="O160" s="29"/>
      <c r="P160" s="86">
        <f>VLOOKUP(B160,'Форма КП'!$B$25:$G$47,5,FALSE)</f>
        <v>0</v>
      </c>
      <c r="Q160" s="86">
        <f t="shared" si="59"/>
        <v>0</v>
      </c>
      <c r="R160" s="32">
        <f t="shared" si="60"/>
        <v>0</v>
      </c>
      <c r="S160" s="32">
        <f t="shared" si="61"/>
        <v>0</v>
      </c>
    </row>
    <row r="161" spans="1:19" ht="36" x14ac:dyDescent="0.25">
      <c r="A161" s="120" t="s">
        <v>321</v>
      </c>
      <c r="B161" s="116" t="s">
        <v>270</v>
      </c>
      <c r="C161" s="121" t="s">
        <v>271</v>
      </c>
      <c r="D161" s="91" t="s">
        <v>518</v>
      </c>
      <c r="E161" s="120" t="s">
        <v>6</v>
      </c>
      <c r="F161" s="123">
        <f t="shared" si="58"/>
        <v>486.17</v>
      </c>
      <c r="G161" s="90">
        <f>(95.43-8.39)*1.1</f>
        <v>95.74</v>
      </c>
      <c r="H161" s="90">
        <f>(58.9-7.4)*1.1</f>
        <v>56.65</v>
      </c>
      <c r="I161" s="90">
        <f>(58.98-7.4)*1.1</f>
        <v>56.74</v>
      </c>
      <c r="J161" s="90">
        <f>(81.65-6.4)*1.1</f>
        <v>82.78</v>
      </c>
      <c r="K161" s="90">
        <f>(58.98-7.4)*1.1</f>
        <v>56.74</v>
      </c>
      <c r="L161" s="90">
        <f>(80.84-7.4)*1.1</f>
        <v>80.78</v>
      </c>
      <c r="M161" s="90">
        <f>(58.98-7.4)*1.1</f>
        <v>56.74</v>
      </c>
      <c r="N161" s="29"/>
      <c r="O161" s="29"/>
      <c r="P161" s="86">
        <f>VLOOKUP(B161,'Форма КП'!$B$25:$G$47,5,FALSE)</f>
        <v>0</v>
      </c>
      <c r="Q161" s="86">
        <f t="shared" si="59"/>
        <v>0</v>
      </c>
      <c r="R161" s="32">
        <f t="shared" si="60"/>
        <v>0</v>
      </c>
      <c r="S161" s="32">
        <f t="shared" si="61"/>
        <v>0</v>
      </c>
    </row>
    <row r="162" spans="1:19" ht="156" x14ac:dyDescent="0.25">
      <c r="A162" s="115" t="s">
        <v>322</v>
      </c>
      <c r="B162" s="116" t="s">
        <v>224</v>
      </c>
      <c r="C162" s="117" t="s">
        <v>525</v>
      </c>
      <c r="D162" s="118"/>
      <c r="E162" s="115" t="s">
        <v>225</v>
      </c>
      <c r="F162" s="119">
        <f t="shared" si="58"/>
        <v>330.45</v>
      </c>
      <c r="G162" s="105">
        <v>56.34</v>
      </c>
      <c r="H162" s="105">
        <v>43.25</v>
      </c>
      <c r="I162" s="105">
        <v>43.24</v>
      </c>
      <c r="J162" s="105">
        <v>50.72</v>
      </c>
      <c r="K162" s="105">
        <v>43.11</v>
      </c>
      <c r="L162" s="105">
        <v>50.7</v>
      </c>
      <c r="M162" s="105">
        <v>43.09</v>
      </c>
      <c r="N162" s="106">
        <f>VLOOKUP(B162,'Форма КП'!$B$17:$G$23,5,FALSE)</f>
        <v>0</v>
      </c>
      <c r="O162" s="106">
        <f>N162*F162</f>
        <v>0</v>
      </c>
      <c r="P162" s="106"/>
      <c r="Q162" s="106"/>
      <c r="R162" s="106">
        <f>N162</f>
        <v>0</v>
      </c>
      <c r="S162" s="106">
        <f>N162*F162</f>
        <v>0</v>
      </c>
    </row>
    <row r="163" spans="1:19" x14ac:dyDescent="0.25">
      <c r="A163" s="120" t="s">
        <v>323</v>
      </c>
      <c r="B163" s="116" t="s">
        <v>226</v>
      </c>
      <c r="C163" s="121" t="s">
        <v>227</v>
      </c>
      <c r="D163" s="91">
        <v>0.15</v>
      </c>
      <c r="E163" s="120" t="s">
        <v>228</v>
      </c>
      <c r="F163" s="123">
        <f t="shared" si="58"/>
        <v>49.58</v>
      </c>
      <c r="G163" s="88">
        <f>G162*D163</f>
        <v>8.4499999999999993</v>
      </c>
      <c r="H163" s="88">
        <f>H162*D163</f>
        <v>6.49</v>
      </c>
      <c r="I163" s="88">
        <f>I162*D163</f>
        <v>6.49</v>
      </c>
      <c r="J163" s="88">
        <f>J162*D163</f>
        <v>7.61</v>
      </c>
      <c r="K163" s="88">
        <f>K162*D163</f>
        <v>6.47</v>
      </c>
      <c r="L163" s="88">
        <f>L162*D163</f>
        <v>7.61</v>
      </c>
      <c r="M163" s="88">
        <f>M162*D163</f>
        <v>6.46</v>
      </c>
      <c r="N163" s="29"/>
      <c r="O163" s="29"/>
      <c r="P163" s="49" t="str">
        <f>VLOOKUP(B163,'Форма КП'!$B$25:$G$47,5,FALSE)</f>
        <v>Материал заказчика</v>
      </c>
      <c r="Q163" s="50"/>
      <c r="R163" s="49" t="str">
        <f t="shared" ref="R163:R166" si="62">P163</f>
        <v>Материал заказчика</v>
      </c>
      <c r="S163" s="50"/>
    </row>
    <row r="164" spans="1:19" x14ac:dyDescent="0.25">
      <c r="A164" s="120" t="s">
        <v>324</v>
      </c>
      <c r="B164" s="116" t="s">
        <v>229</v>
      </c>
      <c r="C164" s="121" t="s">
        <v>230</v>
      </c>
      <c r="D164" s="91">
        <v>8</v>
      </c>
      <c r="E164" s="120" t="s">
        <v>231</v>
      </c>
      <c r="F164" s="123">
        <f t="shared" si="58"/>
        <v>2643.6</v>
      </c>
      <c r="G164" s="88">
        <f>G162*D164</f>
        <v>450.72</v>
      </c>
      <c r="H164" s="88">
        <f>H162*D164</f>
        <v>346</v>
      </c>
      <c r="I164" s="88">
        <f>I162*D164</f>
        <v>345.92</v>
      </c>
      <c r="J164" s="88">
        <f>J162*D164</f>
        <v>405.76</v>
      </c>
      <c r="K164" s="88">
        <f>K162*D164</f>
        <v>344.88</v>
      </c>
      <c r="L164" s="88">
        <f>L162*D164</f>
        <v>405.6</v>
      </c>
      <c r="M164" s="88">
        <f>M162*D164</f>
        <v>344.72</v>
      </c>
      <c r="N164" s="29"/>
      <c r="O164" s="29"/>
      <c r="P164" s="49" t="str">
        <f>VLOOKUP(B164,'Форма КП'!$B$25:$G$47,5,FALSE)</f>
        <v>Материал заказчика</v>
      </c>
      <c r="Q164" s="50"/>
      <c r="R164" s="49" t="str">
        <f t="shared" si="62"/>
        <v>Материал заказчика</v>
      </c>
      <c r="S164" s="50"/>
    </row>
    <row r="165" spans="1:19" x14ac:dyDescent="0.25">
      <c r="A165" s="120" t="s">
        <v>325</v>
      </c>
      <c r="B165" s="116" t="s">
        <v>232</v>
      </c>
      <c r="C165" s="121" t="s">
        <v>233</v>
      </c>
      <c r="D165" s="91">
        <v>0.2</v>
      </c>
      <c r="E165" s="120" t="s">
        <v>231</v>
      </c>
      <c r="F165" s="123">
        <f t="shared" si="58"/>
        <v>66.09</v>
      </c>
      <c r="G165" s="88">
        <f>G162*D165</f>
        <v>11.27</v>
      </c>
      <c r="H165" s="88">
        <f>H162*D165</f>
        <v>8.65</v>
      </c>
      <c r="I165" s="88">
        <f>I162*D165</f>
        <v>8.65</v>
      </c>
      <c r="J165" s="88">
        <f>J162*D165</f>
        <v>10.14</v>
      </c>
      <c r="K165" s="88">
        <f>K162*D165</f>
        <v>8.6199999999999992</v>
      </c>
      <c r="L165" s="88">
        <f>L162*D165</f>
        <v>10.14</v>
      </c>
      <c r="M165" s="88">
        <f>M162*D165</f>
        <v>8.6199999999999992</v>
      </c>
      <c r="N165" s="29"/>
      <c r="O165" s="29"/>
      <c r="P165" s="49" t="str">
        <f>VLOOKUP(B165,'Форма КП'!$B$25:$G$47,5,FALSE)</f>
        <v>Материал заказчика</v>
      </c>
      <c r="Q165" s="50"/>
      <c r="R165" s="49" t="str">
        <f t="shared" si="62"/>
        <v>Материал заказчика</v>
      </c>
      <c r="S165" s="50"/>
    </row>
    <row r="166" spans="1:19" x14ac:dyDescent="0.25">
      <c r="A166" s="120" t="s">
        <v>326</v>
      </c>
      <c r="B166" s="116" t="s">
        <v>276</v>
      </c>
      <c r="C166" s="121" t="s">
        <v>277</v>
      </c>
      <c r="D166" s="91">
        <v>1.05</v>
      </c>
      <c r="E166" s="120" t="s">
        <v>225</v>
      </c>
      <c r="F166" s="123">
        <f t="shared" si="58"/>
        <v>346.98</v>
      </c>
      <c r="G166" s="88">
        <f>G162*D166</f>
        <v>59.16</v>
      </c>
      <c r="H166" s="88">
        <f>H162*D166</f>
        <v>45.41</v>
      </c>
      <c r="I166" s="88">
        <f>I162*D166</f>
        <v>45.4</v>
      </c>
      <c r="J166" s="88">
        <f>J162*D166</f>
        <v>53.26</v>
      </c>
      <c r="K166" s="88">
        <f>K162*D166</f>
        <v>45.27</v>
      </c>
      <c r="L166" s="88">
        <f>L162*D166</f>
        <v>53.24</v>
      </c>
      <c r="M166" s="88">
        <f>M162*D166</f>
        <v>45.24</v>
      </c>
      <c r="N166" s="29"/>
      <c r="O166" s="29"/>
      <c r="P166" s="49" t="str">
        <f>VLOOKUP(B166,'Форма КП'!$B$25:$G$47,5,FALSE)</f>
        <v>Материал заказчика</v>
      </c>
      <c r="Q166" s="50"/>
      <c r="R166" s="49" t="str">
        <f t="shared" si="62"/>
        <v>Материал заказчика</v>
      </c>
      <c r="S166" s="50"/>
    </row>
    <row r="167" spans="1:19" ht="168" x14ac:dyDescent="0.25">
      <c r="A167" s="115" t="s">
        <v>327</v>
      </c>
      <c r="B167" s="116" t="s">
        <v>251</v>
      </c>
      <c r="C167" s="117" t="s">
        <v>527</v>
      </c>
      <c r="D167" s="118"/>
      <c r="E167" s="115" t="s">
        <v>6</v>
      </c>
      <c r="F167" s="119">
        <f t="shared" si="58"/>
        <v>335.67</v>
      </c>
      <c r="G167" s="105">
        <v>55.77</v>
      </c>
      <c r="H167" s="105">
        <v>44.58</v>
      </c>
      <c r="I167" s="105">
        <v>44.58</v>
      </c>
      <c r="J167" s="105">
        <v>50.74</v>
      </c>
      <c r="K167" s="105">
        <v>44.49</v>
      </c>
      <c r="L167" s="105">
        <v>51.01</v>
      </c>
      <c r="M167" s="105">
        <v>44.5</v>
      </c>
      <c r="N167" s="106">
        <f>VLOOKUP(B167,'Форма КП'!$B$17:$G$23,5,FALSE)</f>
        <v>0</v>
      </c>
      <c r="O167" s="106">
        <f>N167*F167</f>
        <v>0</v>
      </c>
      <c r="P167" s="106"/>
      <c r="Q167" s="106"/>
      <c r="R167" s="106">
        <f>N167</f>
        <v>0</v>
      </c>
      <c r="S167" s="106">
        <f>N167*F167</f>
        <v>0</v>
      </c>
    </row>
    <row r="168" spans="1:19" x14ac:dyDescent="0.25">
      <c r="A168" s="120" t="s">
        <v>328</v>
      </c>
      <c r="B168" s="116" t="s">
        <v>252</v>
      </c>
      <c r="C168" s="121" t="s">
        <v>227</v>
      </c>
      <c r="D168" s="91">
        <v>1.4999999999999999E-2</v>
      </c>
      <c r="E168" s="120" t="s">
        <v>231</v>
      </c>
      <c r="F168" s="123">
        <f t="shared" si="58"/>
        <v>5.05</v>
      </c>
      <c r="G168" s="88">
        <f>G167*D168</f>
        <v>0.84</v>
      </c>
      <c r="H168" s="88">
        <f>H167*D168</f>
        <v>0.67</v>
      </c>
      <c r="I168" s="88">
        <f>I167*D168</f>
        <v>0.67</v>
      </c>
      <c r="J168" s="88">
        <f>J167*D168</f>
        <v>0.76</v>
      </c>
      <c r="K168" s="88">
        <f>K167*D168</f>
        <v>0.67</v>
      </c>
      <c r="L168" s="88">
        <f>L167*D168</f>
        <v>0.77</v>
      </c>
      <c r="M168" s="88">
        <f>M167*D168</f>
        <v>0.67</v>
      </c>
      <c r="N168" s="29"/>
      <c r="O168" s="29"/>
      <c r="P168" s="49" t="str">
        <f>VLOOKUP(B168,'Форма КП'!$B$25:$G$47,5,FALSE)</f>
        <v>Материал заказчика</v>
      </c>
      <c r="Q168" s="50"/>
      <c r="R168" s="49" t="str">
        <f t="shared" ref="R168:R171" si="63">P168</f>
        <v>Материал заказчика</v>
      </c>
      <c r="S168" s="50"/>
    </row>
    <row r="169" spans="1:19" x14ac:dyDescent="0.25">
      <c r="A169" s="120" t="s">
        <v>329</v>
      </c>
      <c r="B169" s="116" t="s">
        <v>229</v>
      </c>
      <c r="C169" s="121" t="s">
        <v>230</v>
      </c>
      <c r="D169" s="91">
        <v>0.8</v>
      </c>
      <c r="E169" s="120" t="s">
        <v>231</v>
      </c>
      <c r="F169" s="123">
        <f t="shared" si="58"/>
        <v>268.52999999999997</v>
      </c>
      <c r="G169" s="88">
        <f>G167*D169</f>
        <v>44.62</v>
      </c>
      <c r="H169" s="88">
        <f>H167*D169</f>
        <v>35.659999999999997</v>
      </c>
      <c r="I169" s="88">
        <f>I167*D169</f>
        <v>35.659999999999997</v>
      </c>
      <c r="J169" s="88">
        <f>J167*D169</f>
        <v>40.590000000000003</v>
      </c>
      <c r="K169" s="88">
        <f>K167*D169</f>
        <v>35.590000000000003</v>
      </c>
      <c r="L169" s="88">
        <f>L167*D169</f>
        <v>40.81</v>
      </c>
      <c r="M169" s="88">
        <f>M167*D169</f>
        <v>35.6</v>
      </c>
      <c r="N169" s="29"/>
      <c r="O169" s="29"/>
      <c r="P169" s="49" t="str">
        <f>VLOOKUP(B169,'Форма КП'!$B$25:$G$47,5,FALSE)</f>
        <v>Материал заказчика</v>
      </c>
      <c r="Q169" s="50"/>
      <c r="R169" s="49" t="str">
        <f t="shared" si="63"/>
        <v>Материал заказчика</v>
      </c>
      <c r="S169" s="50"/>
    </row>
    <row r="170" spans="1:19" x14ac:dyDescent="0.25">
      <c r="A170" s="120" t="s">
        <v>330</v>
      </c>
      <c r="B170" s="116" t="s">
        <v>232</v>
      </c>
      <c r="C170" s="121" t="s">
        <v>233</v>
      </c>
      <c r="D170" s="91">
        <v>0.02</v>
      </c>
      <c r="E170" s="120" t="s">
        <v>231</v>
      </c>
      <c r="F170" s="123">
        <f t="shared" si="58"/>
        <v>6.71</v>
      </c>
      <c r="G170" s="88">
        <f>G167*D170</f>
        <v>1.1200000000000001</v>
      </c>
      <c r="H170" s="88">
        <f>H167*D170</f>
        <v>0.89</v>
      </c>
      <c r="I170" s="88">
        <f>I167*D170</f>
        <v>0.89</v>
      </c>
      <c r="J170" s="88">
        <f>J167*D170</f>
        <v>1.01</v>
      </c>
      <c r="K170" s="88">
        <f>K167*D170</f>
        <v>0.89</v>
      </c>
      <c r="L170" s="88">
        <f>L167*D170</f>
        <v>1.02</v>
      </c>
      <c r="M170" s="88">
        <f>M167*D170</f>
        <v>0.89</v>
      </c>
      <c r="N170" s="29"/>
      <c r="O170" s="29"/>
      <c r="P170" s="49" t="str">
        <f>VLOOKUP(B170,'Форма КП'!$B$25:$G$47,5,FALSE)</f>
        <v>Материал заказчика</v>
      </c>
      <c r="Q170" s="50"/>
      <c r="R170" s="49" t="str">
        <f t="shared" si="63"/>
        <v>Материал заказчика</v>
      </c>
      <c r="S170" s="50"/>
    </row>
    <row r="171" spans="1:19" ht="24" x14ac:dyDescent="0.25">
      <c r="A171" s="120" t="s">
        <v>331</v>
      </c>
      <c r="B171" s="116" t="s">
        <v>253</v>
      </c>
      <c r="C171" s="121" t="s">
        <v>254</v>
      </c>
      <c r="D171" s="91">
        <v>0.11</v>
      </c>
      <c r="E171" s="120" t="s">
        <v>225</v>
      </c>
      <c r="F171" s="123">
        <f t="shared" si="58"/>
        <v>36.909999999999997</v>
      </c>
      <c r="G171" s="88">
        <f>G167*D171</f>
        <v>6.13</v>
      </c>
      <c r="H171" s="88">
        <f>H167*D171</f>
        <v>4.9000000000000004</v>
      </c>
      <c r="I171" s="88">
        <f>I167*D171</f>
        <v>4.9000000000000004</v>
      </c>
      <c r="J171" s="88">
        <f>J167*D171</f>
        <v>5.58</v>
      </c>
      <c r="K171" s="88">
        <f>K167*D171</f>
        <v>4.8899999999999997</v>
      </c>
      <c r="L171" s="88">
        <f>L167*D171</f>
        <v>5.61</v>
      </c>
      <c r="M171" s="88">
        <f>M167*D171</f>
        <v>4.9000000000000004</v>
      </c>
      <c r="N171" s="29"/>
      <c r="O171" s="29"/>
      <c r="P171" s="49" t="str">
        <f>VLOOKUP(B171,'Форма КП'!$B$25:$G$47,5,FALSE)</f>
        <v>Материал заказчика</v>
      </c>
      <c r="Q171" s="50"/>
      <c r="R171" s="49" t="str">
        <f t="shared" si="63"/>
        <v>Материал заказчика</v>
      </c>
      <c r="S171" s="50"/>
    </row>
    <row r="172" spans="1:19" x14ac:dyDescent="0.25">
      <c r="A172" s="114" t="s">
        <v>278</v>
      </c>
      <c r="B172" s="108"/>
      <c r="C172" s="109"/>
      <c r="D172" s="110"/>
      <c r="E172" s="111"/>
      <c r="F172" s="112"/>
      <c r="G172" s="113"/>
      <c r="H172" s="113"/>
      <c r="I172" s="113"/>
      <c r="J172" s="113"/>
      <c r="K172" s="113"/>
      <c r="L172" s="113"/>
      <c r="M172" s="113"/>
      <c r="N172" s="33"/>
      <c r="O172" s="33"/>
      <c r="P172" s="33"/>
      <c r="Q172" s="33"/>
      <c r="R172" s="33"/>
      <c r="S172" s="31"/>
    </row>
    <row r="173" spans="1:19" ht="180" x14ac:dyDescent="0.25">
      <c r="A173" s="115" t="s">
        <v>332</v>
      </c>
      <c r="B173" s="116" t="s">
        <v>259</v>
      </c>
      <c r="C173" s="117" t="s">
        <v>529</v>
      </c>
      <c r="D173" s="118"/>
      <c r="E173" s="115" t="s">
        <v>225</v>
      </c>
      <c r="F173" s="119">
        <f t="shared" ref="F173:F182" si="64">SUM(G173:M173)</f>
        <v>320.44</v>
      </c>
      <c r="G173" s="105">
        <v>45.44</v>
      </c>
      <c r="H173" s="105">
        <v>46.51</v>
      </c>
      <c r="I173" s="105">
        <v>46.51</v>
      </c>
      <c r="J173" s="105">
        <v>47.88</v>
      </c>
      <c r="K173" s="105">
        <v>46.5</v>
      </c>
      <c r="L173" s="105">
        <v>44.6</v>
      </c>
      <c r="M173" s="105">
        <v>43</v>
      </c>
      <c r="N173" s="106">
        <f>VLOOKUP(B173,'Форма КП'!$B$17:$G$23,5,FALSE)</f>
        <v>0</v>
      </c>
      <c r="O173" s="106">
        <f>N173*F173</f>
        <v>0</v>
      </c>
      <c r="P173" s="106"/>
      <c r="Q173" s="106"/>
      <c r="R173" s="106">
        <f>N173</f>
        <v>0</v>
      </c>
      <c r="S173" s="106">
        <f>N173*F173</f>
        <v>0</v>
      </c>
    </row>
    <row r="174" spans="1:19" x14ac:dyDescent="0.25">
      <c r="A174" s="120" t="s">
        <v>333</v>
      </c>
      <c r="B174" s="116" t="s">
        <v>260</v>
      </c>
      <c r="C174" s="121" t="s">
        <v>261</v>
      </c>
      <c r="D174" s="122">
        <v>5</v>
      </c>
      <c r="E174" s="120" t="s">
        <v>231</v>
      </c>
      <c r="F174" s="123">
        <f t="shared" si="64"/>
        <v>1602.2</v>
      </c>
      <c r="G174" s="88">
        <f>G173*D174</f>
        <v>227.2</v>
      </c>
      <c r="H174" s="88">
        <f>H173*D174</f>
        <v>232.55</v>
      </c>
      <c r="I174" s="88">
        <f>I173*D174</f>
        <v>232.55</v>
      </c>
      <c r="J174" s="88">
        <f>J173*D174</f>
        <v>239.4</v>
      </c>
      <c r="K174" s="88">
        <f>K173*D174</f>
        <v>232.5</v>
      </c>
      <c r="L174" s="88">
        <f>L173*D174</f>
        <v>223</v>
      </c>
      <c r="M174" s="88">
        <f>M173*D174</f>
        <v>215</v>
      </c>
      <c r="N174" s="29"/>
      <c r="O174" s="29"/>
      <c r="P174" s="49" t="str">
        <f>VLOOKUP(B174,'Форма КП'!$B$25:$G$47,5,FALSE)</f>
        <v>Материал заказчика</v>
      </c>
      <c r="Q174" s="50"/>
      <c r="R174" s="49" t="str">
        <f t="shared" ref="R174:R175" si="65">P174</f>
        <v>Материал заказчика</v>
      </c>
      <c r="S174" s="50"/>
    </row>
    <row r="175" spans="1:19" x14ac:dyDescent="0.25">
      <c r="A175" s="120" t="s">
        <v>334</v>
      </c>
      <c r="B175" s="116" t="s">
        <v>262</v>
      </c>
      <c r="C175" s="121" t="s">
        <v>263</v>
      </c>
      <c r="D175" s="122" t="s">
        <v>518</v>
      </c>
      <c r="E175" s="120" t="s">
        <v>225</v>
      </c>
      <c r="F175" s="123">
        <f t="shared" si="64"/>
        <v>130.08000000000001</v>
      </c>
      <c r="G175" s="88">
        <f>54.02*0.3*1.15</f>
        <v>18.64</v>
      </c>
      <c r="H175" s="88">
        <f>53.51*0.3*1.15</f>
        <v>18.46</v>
      </c>
      <c r="I175" s="88">
        <f>53.51*0.3*1.15</f>
        <v>18.46</v>
      </c>
      <c r="J175" s="88">
        <f>58*0.3*1.15</f>
        <v>20.010000000000002</v>
      </c>
      <c r="K175" s="88">
        <f>53.51*0.3*1.15</f>
        <v>18.46</v>
      </c>
      <c r="L175" s="88">
        <f>54.3*0.3*1.15</f>
        <v>18.73</v>
      </c>
      <c r="M175" s="88">
        <f>50.2*0.3*1.15</f>
        <v>17.32</v>
      </c>
      <c r="N175" s="29"/>
      <c r="O175" s="29"/>
      <c r="P175" s="49" t="str">
        <f>VLOOKUP(B175,'Форма КП'!$B$25:$G$47,5,FALSE)</f>
        <v>Материал заказчика</v>
      </c>
      <c r="Q175" s="50"/>
      <c r="R175" s="49" t="str">
        <f t="shared" si="65"/>
        <v>Материал заказчика</v>
      </c>
      <c r="S175" s="50"/>
    </row>
    <row r="176" spans="1:19" ht="144" x14ac:dyDescent="0.25">
      <c r="A176" s="115" t="s">
        <v>335</v>
      </c>
      <c r="B176" s="116" t="s">
        <v>280</v>
      </c>
      <c r="C176" s="117" t="s">
        <v>531</v>
      </c>
      <c r="D176" s="118"/>
      <c r="E176" s="115" t="s">
        <v>225</v>
      </c>
      <c r="F176" s="119">
        <f t="shared" si="64"/>
        <v>2074.85</v>
      </c>
      <c r="G176" s="105">
        <v>302.60000000000002</v>
      </c>
      <c r="H176" s="105">
        <v>286.55</v>
      </c>
      <c r="I176" s="105">
        <v>286.55</v>
      </c>
      <c r="J176" s="105">
        <v>315.45999999999998</v>
      </c>
      <c r="K176" s="105">
        <v>286.55</v>
      </c>
      <c r="L176" s="105">
        <v>313.24</v>
      </c>
      <c r="M176" s="105">
        <v>283.89999999999998</v>
      </c>
      <c r="N176" s="106">
        <f>VLOOKUP(B176,'Форма КП'!$B$17:$G$23,5,FALSE)</f>
        <v>0</v>
      </c>
      <c r="O176" s="106">
        <f>N176*F176</f>
        <v>0</v>
      </c>
      <c r="P176" s="106"/>
      <c r="Q176" s="106"/>
      <c r="R176" s="106">
        <f>N176</f>
        <v>0</v>
      </c>
      <c r="S176" s="106">
        <f>N176*F176</f>
        <v>0</v>
      </c>
    </row>
    <row r="177" spans="1:19" x14ac:dyDescent="0.25">
      <c r="A177" s="120" t="s">
        <v>336</v>
      </c>
      <c r="B177" s="116" t="s">
        <v>281</v>
      </c>
      <c r="C177" s="121" t="s">
        <v>282</v>
      </c>
      <c r="D177" s="122">
        <v>1.1499999999999999</v>
      </c>
      <c r="E177" s="120" t="s">
        <v>225</v>
      </c>
      <c r="F177" s="123">
        <f t="shared" si="64"/>
        <v>2386.08</v>
      </c>
      <c r="G177" s="88">
        <f>G176*D177</f>
        <v>347.99</v>
      </c>
      <c r="H177" s="88">
        <f>H176*D177</f>
        <v>329.53</v>
      </c>
      <c r="I177" s="88">
        <f>I176*D177</f>
        <v>329.53</v>
      </c>
      <c r="J177" s="88">
        <f>J176*D177</f>
        <v>362.78</v>
      </c>
      <c r="K177" s="88">
        <f>K176*D177</f>
        <v>329.53</v>
      </c>
      <c r="L177" s="88">
        <f>L176*D177</f>
        <v>360.23</v>
      </c>
      <c r="M177" s="88">
        <f>M176*D177</f>
        <v>326.49</v>
      </c>
      <c r="N177" s="29"/>
      <c r="O177" s="29"/>
      <c r="P177" s="49" t="str">
        <f>VLOOKUP(B177,'Форма КП'!$B$25:$G$47,5,FALSE)</f>
        <v>Материал заказчика</v>
      </c>
      <c r="Q177" s="50"/>
      <c r="R177" s="49" t="str">
        <f t="shared" ref="R177" si="66">P177</f>
        <v>Материал заказчика</v>
      </c>
      <c r="S177" s="50"/>
    </row>
    <row r="178" spans="1:19" ht="168" x14ac:dyDescent="0.25">
      <c r="A178" s="115" t="s">
        <v>337</v>
      </c>
      <c r="B178" s="116" t="s">
        <v>264</v>
      </c>
      <c r="C178" s="117" t="s">
        <v>530</v>
      </c>
      <c r="D178" s="118"/>
      <c r="E178" s="115" t="s">
        <v>225</v>
      </c>
      <c r="F178" s="119">
        <f t="shared" si="64"/>
        <v>2074.85</v>
      </c>
      <c r="G178" s="105">
        <v>302.60000000000002</v>
      </c>
      <c r="H178" s="105">
        <v>286.55</v>
      </c>
      <c r="I178" s="105">
        <v>286.55</v>
      </c>
      <c r="J178" s="105">
        <v>315.45999999999998</v>
      </c>
      <c r="K178" s="105">
        <v>286.55</v>
      </c>
      <c r="L178" s="105">
        <v>313.24</v>
      </c>
      <c r="M178" s="105">
        <v>283.89999999999998</v>
      </c>
      <c r="N178" s="106">
        <f>VLOOKUP(B178,'Форма КП'!$B$17:$G$23,5,FALSE)</f>
        <v>0</v>
      </c>
      <c r="O178" s="106">
        <f>N178*F178</f>
        <v>0</v>
      </c>
      <c r="P178" s="106"/>
      <c r="Q178" s="106"/>
      <c r="R178" s="106">
        <f>N178</f>
        <v>0</v>
      </c>
      <c r="S178" s="106">
        <f>N178*F178</f>
        <v>0</v>
      </c>
    </row>
    <row r="179" spans="1:19" x14ac:dyDescent="0.25">
      <c r="A179" s="120" t="s">
        <v>338</v>
      </c>
      <c r="B179" s="116" t="s">
        <v>265</v>
      </c>
      <c r="C179" s="121" t="s">
        <v>266</v>
      </c>
      <c r="D179" s="91">
        <v>6.1199999999999997E-2</v>
      </c>
      <c r="E179" s="120" t="s">
        <v>267</v>
      </c>
      <c r="F179" s="125">
        <f t="shared" si="64"/>
        <v>126.98099999999999</v>
      </c>
      <c r="G179" s="89">
        <f>G178*D179</f>
        <v>18.518999999999998</v>
      </c>
      <c r="H179" s="89">
        <f>H178*D179</f>
        <v>17.536999999999999</v>
      </c>
      <c r="I179" s="89">
        <f>I178*D179</f>
        <v>17.536999999999999</v>
      </c>
      <c r="J179" s="89">
        <f>J178*D179</f>
        <v>19.306000000000001</v>
      </c>
      <c r="K179" s="89">
        <f>K178*D179</f>
        <v>17.536999999999999</v>
      </c>
      <c r="L179" s="89">
        <f>L178*D179</f>
        <v>19.170000000000002</v>
      </c>
      <c r="M179" s="89">
        <f>M178*D179</f>
        <v>17.375</v>
      </c>
      <c r="N179" s="29"/>
      <c r="O179" s="29"/>
      <c r="P179" s="86">
        <f>VLOOKUP(B179,'Форма КП'!$B$25:$G$47,5,FALSE)</f>
        <v>0</v>
      </c>
      <c r="Q179" s="86">
        <f t="shared" ref="Q179:Q182" si="67">P179*F179</f>
        <v>0</v>
      </c>
      <c r="R179" s="32">
        <f t="shared" ref="R179:R182" si="68">P179</f>
        <v>0</v>
      </c>
      <c r="S179" s="32">
        <f t="shared" ref="S179:S182" si="69">P179*F179</f>
        <v>0</v>
      </c>
    </row>
    <row r="180" spans="1:19" x14ac:dyDescent="0.25">
      <c r="A180" s="120" t="s">
        <v>339</v>
      </c>
      <c r="B180" s="116" t="s">
        <v>268</v>
      </c>
      <c r="C180" s="121" t="s">
        <v>269</v>
      </c>
      <c r="D180" s="91">
        <v>7.3440000000000005E-2</v>
      </c>
      <c r="E180" s="120" t="s">
        <v>231</v>
      </c>
      <c r="F180" s="123">
        <f t="shared" si="64"/>
        <v>152.36000000000001</v>
      </c>
      <c r="G180" s="88">
        <f>G178*D180</f>
        <v>22.22</v>
      </c>
      <c r="H180" s="88">
        <f>H178*D180</f>
        <v>21.04</v>
      </c>
      <c r="I180" s="88">
        <f>I178*D180</f>
        <v>21.04</v>
      </c>
      <c r="J180" s="88">
        <f>J178*D180</f>
        <v>23.17</v>
      </c>
      <c r="K180" s="88">
        <f>K178*D180</f>
        <v>21.04</v>
      </c>
      <c r="L180" s="88">
        <f>L178*D180</f>
        <v>23</v>
      </c>
      <c r="M180" s="88">
        <f>M178*D180</f>
        <v>20.85</v>
      </c>
      <c r="N180" s="29"/>
      <c r="O180" s="29"/>
      <c r="P180" s="86">
        <f>VLOOKUP(B180,'Форма КП'!$B$25:$G$47,5,FALSE)</f>
        <v>0</v>
      </c>
      <c r="Q180" s="86">
        <f t="shared" si="67"/>
        <v>0</v>
      </c>
      <c r="R180" s="32">
        <f t="shared" si="68"/>
        <v>0</v>
      </c>
      <c r="S180" s="32">
        <f t="shared" si="69"/>
        <v>0</v>
      </c>
    </row>
    <row r="181" spans="1:19" ht="36" x14ac:dyDescent="0.25">
      <c r="A181" s="120" t="s">
        <v>340</v>
      </c>
      <c r="B181" s="116" t="s">
        <v>270</v>
      </c>
      <c r="C181" s="121" t="s">
        <v>271</v>
      </c>
      <c r="D181" s="91" t="s">
        <v>518</v>
      </c>
      <c r="E181" s="120" t="s">
        <v>6</v>
      </c>
      <c r="F181" s="123">
        <f t="shared" si="64"/>
        <v>2089.34</v>
      </c>
      <c r="G181" s="88">
        <f>290*1.1</f>
        <v>319</v>
      </c>
      <c r="H181" s="88">
        <f>256.7*1.1</f>
        <v>282.37</v>
      </c>
      <c r="I181" s="88">
        <f>256.7*1.1</f>
        <v>282.37</v>
      </c>
      <c r="J181" s="88">
        <f>293.3*1.1</f>
        <v>322.63</v>
      </c>
      <c r="K181" s="88">
        <f>246.7*1.1</f>
        <v>271.37</v>
      </c>
      <c r="L181" s="88">
        <f>300*1.1</f>
        <v>330</v>
      </c>
      <c r="M181" s="88">
        <f>256*1.1</f>
        <v>281.60000000000002</v>
      </c>
      <c r="N181" s="29"/>
      <c r="O181" s="29"/>
      <c r="P181" s="86">
        <f>VLOOKUP(B181,'Форма КП'!$B$25:$G$47,5,FALSE)</f>
        <v>0</v>
      </c>
      <c r="Q181" s="86">
        <f t="shared" si="67"/>
        <v>0</v>
      </c>
      <c r="R181" s="32">
        <f t="shared" si="68"/>
        <v>0</v>
      </c>
      <c r="S181" s="32">
        <f t="shared" si="69"/>
        <v>0</v>
      </c>
    </row>
    <row r="182" spans="1:19" x14ac:dyDescent="0.25">
      <c r="A182" s="120" t="s">
        <v>341</v>
      </c>
      <c r="B182" s="116" t="s">
        <v>272</v>
      </c>
      <c r="C182" s="121" t="s">
        <v>273</v>
      </c>
      <c r="D182" s="91">
        <v>1.1499999999999999</v>
      </c>
      <c r="E182" s="120" t="s">
        <v>225</v>
      </c>
      <c r="F182" s="123">
        <f t="shared" si="64"/>
        <v>2017.59</v>
      </c>
      <c r="G182" s="88">
        <f>(G178-G173)*D182</f>
        <v>295.73</v>
      </c>
      <c r="H182" s="88">
        <f>(H178-H173)*D182</f>
        <v>276.05</v>
      </c>
      <c r="I182" s="88">
        <f>(I178-I173)*D182</f>
        <v>276.05</v>
      </c>
      <c r="J182" s="88">
        <f>(J178-J173)*D182</f>
        <v>307.72000000000003</v>
      </c>
      <c r="K182" s="88">
        <f>(K178-K173)*D182</f>
        <v>276.06</v>
      </c>
      <c r="L182" s="88">
        <f>(L178-L173)*D182</f>
        <v>308.94</v>
      </c>
      <c r="M182" s="88">
        <f>(M178-M173)*D182</f>
        <v>277.04000000000002</v>
      </c>
      <c r="N182" s="29"/>
      <c r="O182" s="29"/>
      <c r="P182" s="86">
        <f>VLOOKUP(B182,'Форма КП'!$B$25:$G$47,5,FALSE)</f>
        <v>0</v>
      </c>
      <c r="Q182" s="86">
        <f t="shared" si="67"/>
        <v>0</v>
      </c>
      <c r="R182" s="32">
        <f t="shared" si="68"/>
        <v>0</v>
      </c>
      <c r="S182" s="32">
        <f t="shared" si="69"/>
        <v>0</v>
      </c>
    </row>
    <row r="183" spans="1:19" x14ac:dyDescent="0.25">
      <c r="A183" s="107" t="s">
        <v>342</v>
      </c>
      <c r="B183" s="108"/>
      <c r="C183" s="109"/>
      <c r="D183" s="110"/>
      <c r="E183" s="111"/>
      <c r="F183" s="112"/>
      <c r="G183" s="113"/>
      <c r="H183" s="113"/>
      <c r="I183" s="113"/>
      <c r="J183" s="113"/>
      <c r="K183" s="113"/>
      <c r="L183" s="113"/>
      <c r="M183" s="113"/>
      <c r="N183" s="33"/>
      <c r="O183" s="33"/>
      <c r="P183" s="33"/>
      <c r="Q183" s="33"/>
      <c r="R183" s="33"/>
      <c r="S183" s="31"/>
    </row>
    <row r="184" spans="1:19" x14ac:dyDescent="0.25">
      <c r="A184" s="114" t="s">
        <v>223</v>
      </c>
      <c r="B184" s="108"/>
      <c r="C184" s="109"/>
      <c r="D184" s="110"/>
      <c r="E184" s="111"/>
      <c r="F184" s="112"/>
      <c r="G184" s="113"/>
      <c r="H184" s="113"/>
      <c r="I184" s="113"/>
      <c r="J184" s="113"/>
      <c r="K184" s="113"/>
      <c r="L184" s="113"/>
      <c r="M184" s="113"/>
      <c r="N184" s="33"/>
      <c r="O184" s="33"/>
      <c r="P184" s="33"/>
      <c r="Q184" s="33"/>
      <c r="R184" s="33"/>
      <c r="S184" s="31"/>
    </row>
    <row r="185" spans="1:19" ht="168" x14ac:dyDescent="0.25">
      <c r="A185" s="115" t="s">
        <v>343</v>
      </c>
      <c r="B185" s="116" t="s">
        <v>264</v>
      </c>
      <c r="C185" s="117" t="s">
        <v>530</v>
      </c>
      <c r="D185" s="118"/>
      <c r="E185" s="115" t="s">
        <v>225</v>
      </c>
      <c r="F185" s="119">
        <f t="shared" ref="F185:F198" si="70">SUM(G185:M185)</f>
        <v>359.27</v>
      </c>
      <c r="G185" s="105">
        <v>68.44</v>
      </c>
      <c r="H185" s="105">
        <v>43.48</v>
      </c>
      <c r="I185" s="105">
        <v>43.52</v>
      </c>
      <c r="J185" s="105">
        <v>58.02</v>
      </c>
      <c r="K185" s="105">
        <v>43.39</v>
      </c>
      <c r="L185" s="105">
        <v>59.05</v>
      </c>
      <c r="M185" s="105">
        <v>43.37</v>
      </c>
      <c r="N185" s="106">
        <f>VLOOKUP(B185,'Форма КП'!$B$17:$G$23,5,FALSE)</f>
        <v>0</v>
      </c>
      <c r="O185" s="106">
        <f>N185*F185</f>
        <v>0</v>
      </c>
      <c r="P185" s="106"/>
      <c r="Q185" s="106"/>
      <c r="R185" s="106">
        <f>N185</f>
        <v>0</v>
      </c>
      <c r="S185" s="106">
        <f>N185*F185</f>
        <v>0</v>
      </c>
    </row>
    <row r="186" spans="1:19" x14ac:dyDescent="0.25">
      <c r="A186" s="120" t="s">
        <v>344</v>
      </c>
      <c r="B186" s="116" t="s">
        <v>265</v>
      </c>
      <c r="C186" s="121" t="s">
        <v>266</v>
      </c>
      <c r="D186" s="91">
        <v>6.1199999999999997E-2</v>
      </c>
      <c r="E186" s="120" t="s">
        <v>267</v>
      </c>
      <c r="F186" s="125">
        <f t="shared" si="70"/>
        <v>21.986999999999998</v>
      </c>
      <c r="G186" s="89">
        <f>G185*D186</f>
        <v>4.1890000000000001</v>
      </c>
      <c r="H186" s="89">
        <f>H185*D186</f>
        <v>2.661</v>
      </c>
      <c r="I186" s="89">
        <f>I185*D186</f>
        <v>2.6629999999999998</v>
      </c>
      <c r="J186" s="89">
        <f>J185*D186</f>
        <v>3.5510000000000002</v>
      </c>
      <c r="K186" s="89">
        <f>K185*D186</f>
        <v>2.6549999999999998</v>
      </c>
      <c r="L186" s="89">
        <f>L185*D186</f>
        <v>3.6139999999999999</v>
      </c>
      <c r="M186" s="89">
        <f>M185*D186</f>
        <v>2.6539999999999999</v>
      </c>
      <c r="N186" s="29"/>
      <c r="O186" s="29"/>
      <c r="P186" s="86">
        <f>VLOOKUP(B186,'Форма КП'!$B$25:$G$47,5,FALSE)</f>
        <v>0</v>
      </c>
      <c r="Q186" s="86">
        <f t="shared" ref="Q186:Q188" si="71">P186*F186</f>
        <v>0</v>
      </c>
      <c r="R186" s="32">
        <f t="shared" ref="R186:R188" si="72">P186</f>
        <v>0</v>
      </c>
      <c r="S186" s="32">
        <f t="shared" ref="S186:S188" si="73">P186*F186</f>
        <v>0</v>
      </c>
    </row>
    <row r="187" spans="1:19" x14ac:dyDescent="0.25">
      <c r="A187" s="120" t="s">
        <v>345</v>
      </c>
      <c r="B187" s="116" t="s">
        <v>268</v>
      </c>
      <c r="C187" s="121" t="s">
        <v>269</v>
      </c>
      <c r="D187" s="91">
        <v>7.3440000000000005E-2</v>
      </c>
      <c r="E187" s="120" t="s">
        <v>231</v>
      </c>
      <c r="F187" s="123">
        <f t="shared" si="70"/>
        <v>26.4</v>
      </c>
      <c r="G187" s="88">
        <f>G185*D187</f>
        <v>5.03</v>
      </c>
      <c r="H187" s="88">
        <f>H185*D187</f>
        <v>3.19</v>
      </c>
      <c r="I187" s="88">
        <f>I185*D187</f>
        <v>3.2</v>
      </c>
      <c r="J187" s="88">
        <f>J185*D187</f>
        <v>4.26</v>
      </c>
      <c r="K187" s="88">
        <f>K185*D187</f>
        <v>3.19</v>
      </c>
      <c r="L187" s="88">
        <f>L185*D187</f>
        <v>4.34</v>
      </c>
      <c r="M187" s="88">
        <f>M185*D187</f>
        <v>3.19</v>
      </c>
      <c r="N187" s="29"/>
      <c r="O187" s="29"/>
      <c r="P187" s="86">
        <f>VLOOKUP(B187,'Форма КП'!$B$25:$G$47,5,FALSE)</f>
        <v>0</v>
      </c>
      <c r="Q187" s="86">
        <f t="shared" si="71"/>
        <v>0</v>
      </c>
      <c r="R187" s="32">
        <f t="shared" si="72"/>
        <v>0</v>
      </c>
      <c r="S187" s="32">
        <f t="shared" si="73"/>
        <v>0</v>
      </c>
    </row>
    <row r="188" spans="1:19" ht="36" x14ac:dyDescent="0.25">
      <c r="A188" s="120" t="s">
        <v>346</v>
      </c>
      <c r="B188" s="116" t="s">
        <v>270</v>
      </c>
      <c r="C188" s="121" t="s">
        <v>271</v>
      </c>
      <c r="D188" s="91" t="s">
        <v>518</v>
      </c>
      <c r="E188" s="120" t="s">
        <v>6</v>
      </c>
      <c r="F188" s="123">
        <f t="shared" si="70"/>
        <v>486.17</v>
      </c>
      <c r="G188" s="90">
        <f>(95.43-8.39)*1.1</f>
        <v>95.74</v>
      </c>
      <c r="H188" s="90">
        <f>(58.9-7.4)*1.1</f>
        <v>56.65</v>
      </c>
      <c r="I188" s="90">
        <f>(58.98-7.4)*1.1</f>
        <v>56.74</v>
      </c>
      <c r="J188" s="90">
        <f>(81.65-6.4)*1.1</f>
        <v>82.78</v>
      </c>
      <c r="K188" s="90">
        <f>(58.98-7.4)*1.1</f>
        <v>56.74</v>
      </c>
      <c r="L188" s="90">
        <f>(80.84-7.4)*1.1</f>
        <v>80.78</v>
      </c>
      <c r="M188" s="90">
        <f>(58.98-7.4)*1.1</f>
        <v>56.74</v>
      </c>
      <c r="N188" s="29"/>
      <c r="O188" s="29"/>
      <c r="P188" s="86">
        <f>VLOOKUP(B188,'Форма КП'!$B$25:$G$47,5,FALSE)</f>
        <v>0</v>
      </c>
      <c r="Q188" s="86">
        <f t="shared" si="71"/>
        <v>0</v>
      </c>
      <c r="R188" s="32">
        <f t="shared" si="72"/>
        <v>0</v>
      </c>
      <c r="S188" s="32">
        <f t="shared" si="73"/>
        <v>0</v>
      </c>
    </row>
    <row r="189" spans="1:19" ht="156" x14ac:dyDescent="0.25">
      <c r="A189" s="115" t="s">
        <v>347</v>
      </c>
      <c r="B189" s="116" t="s">
        <v>224</v>
      </c>
      <c r="C189" s="117" t="s">
        <v>525</v>
      </c>
      <c r="D189" s="118"/>
      <c r="E189" s="115" t="s">
        <v>225</v>
      </c>
      <c r="F189" s="119">
        <f t="shared" si="70"/>
        <v>330.45</v>
      </c>
      <c r="G189" s="105">
        <v>56.34</v>
      </c>
      <c r="H189" s="105">
        <v>43.25</v>
      </c>
      <c r="I189" s="105">
        <v>43.24</v>
      </c>
      <c r="J189" s="105">
        <v>50.72</v>
      </c>
      <c r="K189" s="105">
        <v>43.11</v>
      </c>
      <c r="L189" s="105">
        <v>50.7</v>
      </c>
      <c r="M189" s="105">
        <v>43.09</v>
      </c>
      <c r="N189" s="106">
        <f>VLOOKUP(B189,'Форма КП'!$B$17:$G$23,5,FALSE)</f>
        <v>0</v>
      </c>
      <c r="O189" s="106">
        <f>N189*F189</f>
        <v>0</v>
      </c>
      <c r="P189" s="106"/>
      <c r="Q189" s="106"/>
      <c r="R189" s="106">
        <f>N189</f>
        <v>0</v>
      </c>
      <c r="S189" s="106">
        <f>N189*F189</f>
        <v>0</v>
      </c>
    </row>
    <row r="190" spans="1:19" x14ac:dyDescent="0.25">
      <c r="A190" s="120" t="s">
        <v>348</v>
      </c>
      <c r="B190" s="116" t="s">
        <v>226</v>
      </c>
      <c r="C190" s="121" t="s">
        <v>227</v>
      </c>
      <c r="D190" s="91">
        <v>0.15</v>
      </c>
      <c r="E190" s="120" t="s">
        <v>228</v>
      </c>
      <c r="F190" s="123">
        <f t="shared" si="70"/>
        <v>49.58</v>
      </c>
      <c r="G190" s="88">
        <f>G189*D190</f>
        <v>8.4499999999999993</v>
      </c>
      <c r="H190" s="88">
        <f>H189*D190</f>
        <v>6.49</v>
      </c>
      <c r="I190" s="88">
        <f>I189*D190</f>
        <v>6.49</v>
      </c>
      <c r="J190" s="88">
        <f>J189*D190</f>
        <v>7.61</v>
      </c>
      <c r="K190" s="88">
        <f>K189*D190</f>
        <v>6.47</v>
      </c>
      <c r="L190" s="88">
        <f>L189*D190</f>
        <v>7.61</v>
      </c>
      <c r="M190" s="88">
        <f>M189*D190</f>
        <v>6.46</v>
      </c>
      <c r="N190" s="29"/>
      <c r="O190" s="29"/>
      <c r="P190" s="49" t="str">
        <f>VLOOKUP(B190,'Форма КП'!$B$25:$G$47,5,FALSE)</f>
        <v>Материал заказчика</v>
      </c>
      <c r="Q190" s="50"/>
      <c r="R190" s="49" t="str">
        <f t="shared" ref="R190:R193" si="74">P190</f>
        <v>Материал заказчика</v>
      </c>
      <c r="S190" s="50"/>
    </row>
    <row r="191" spans="1:19" x14ac:dyDescent="0.25">
      <c r="A191" s="120" t="s">
        <v>349</v>
      </c>
      <c r="B191" s="116" t="s">
        <v>229</v>
      </c>
      <c r="C191" s="121" t="s">
        <v>230</v>
      </c>
      <c r="D191" s="91">
        <v>8</v>
      </c>
      <c r="E191" s="120" t="s">
        <v>231</v>
      </c>
      <c r="F191" s="123">
        <f t="shared" si="70"/>
        <v>2643.6</v>
      </c>
      <c r="G191" s="88">
        <f>G189*D191</f>
        <v>450.72</v>
      </c>
      <c r="H191" s="88">
        <f>H189*D191</f>
        <v>346</v>
      </c>
      <c r="I191" s="88">
        <f>I189*D191</f>
        <v>345.92</v>
      </c>
      <c r="J191" s="88">
        <f>J189*D191</f>
        <v>405.76</v>
      </c>
      <c r="K191" s="88">
        <f>K189*D191</f>
        <v>344.88</v>
      </c>
      <c r="L191" s="88">
        <f>L189*D191</f>
        <v>405.6</v>
      </c>
      <c r="M191" s="88">
        <f>M189*D191</f>
        <v>344.72</v>
      </c>
      <c r="N191" s="29"/>
      <c r="O191" s="29"/>
      <c r="P191" s="49" t="str">
        <f>VLOOKUP(B191,'Форма КП'!$B$25:$G$47,5,FALSE)</f>
        <v>Материал заказчика</v>
      </c>
      <c r="Q191" s="50"/>
      <c r="R191" s="49" t="str">
        <f t="shared" si="74"/>
        <v>Материал заказчика</v>
      </c>
      <c r="S191" s="50"/>
    </row>
    <row r="192" spans="1:19" x14ac:dyDescent="0.25">
      <c r="A192" s="120" t="s">
        <v>350</v>
      </c>
      <c r="B192" s="116" t="s">
        <v>232</v>
      </c>
      <c r="C192" s="121" t="s">
        <v>233</v>
      </c>
      <c r="D192" s="91">
        <v>0.2</v>
      </c>
      <c r="E192" s="120" t="s">
        <v>231</v>
      </c>
      <c r="F192" s="123">
        <f t="shared" si="70"/>
        <v>66.09</v>
      </c>
      <c r="G192" s="88">
        <f>G189*D192</f>
        <v>11.27</v>
      </c>
      <c r="H192" s="88">
        <f>H189*D192</f>
        <v>8.65</v>
      </c>
      <c r="I192" s="88">
        <f>I189*D192</f>
        <v>8.65</v>
      </c>
      <c r="J192" s="88">
        <f>J189*D192</f>
        <v>10.14</v>
      </c>
      <c r="K192" s="88">
        <f>K189*D192</f>
        <v>8.6199999999999992</v>
      </c>
      <c r="L192" s="88">
        <f>L189*D192</f>
        <v>10.14</v>
      </c>
      <c r="M192" s="88">
        <f>M189*D192</f>
        <v>8.6199999999999992</v>
      </c>
      <c r="N192" s="29"/>
      <c r="O192" s="29"/>
      <c r="P192" s="49" t="str">
        <f>VLOOKUP(B192,'Форма КП'!$B$25:$G$47,5,FALSE)</f>
        <v>Материал заказчика</v>
      </c>
      <c r="Q192" s="50"/>
      <c r="R192" s="49" t="str">
        <f t="shared" si="74"/>
        <v>Материал заказчика</v>
      </c>
      <c r="S192" s="50"/>
    </row>
    <row r="193" spans="1:19" x14ac:dyDescent="0.25">
      <c r="A193" s="120" t="s">
        <v>351</v>
      </c>
      <c r="B193" s="116" t="s">
        <v>276</v>
      </c>
      <c r="C193" s="121" t="s">
        <v>277</v>
      </c>
      <c r="D193" s="91">
        <v>1.05</v>
      </c>
      <c r="E193" s="120" t="s">
        <v>225</v>
      </c>
      <c r="F193" s="123">
        <f t="shared" si="70"/>
        <v>346.98</v>
      </c>
      <c r="G193" s="88">
        <f>G189*D193</f>
        <v>59.16</v>
      </c>
      <c r="H193" s="88">
        <f>H189*D193</f>
        <v>45.41</v>
      </c>
      <c r="I193" s="88">
        <f>I189*D193</f>
        <v>45.4</v>
      </c>
      <c r="J193" s="88">
        <f>J189*D193</f>
        <v>53.26</v>
      </c>
      <c r="K193" s="88">
        <f>K189*D193</f>
        <v>45.27</v>
      </c>
      <c r="L193" s="88">
        <f>L189*D193</f>
        <v>53.24</v>
      </c>
      <c r="M193" s="88">
        <f>M189*D193</f>
        <v>45.24</v>
      </c>
      <c r="N193" s="29"/>
      <c r="O193" s="29"/>
      <c r="P193" s="49" t="str">
        <f>VLOOKUP(B193,'Форма КП'!$B$25:$G$47,5,FALSE)</f>
        <v>Материал заказчика</v>
      </c>
      <c r="Q193" s="50"/>
      <c r="R193" s="49" t="str">
        <f t="shared" si="74"/>
        <v>Материал заказчика</v>
      </c>
      <c r="S193" s="50"/>
    </row>
    <row r="194" spans="1:19" ht="168" x14ac:dyDescent="0.25">
      <c r="A194" s="115" t="s">
        <v>352</v>
      </c>
      <c r="B194" s="116" t="s">
        <v>251</v>
      </c>
      <c r="C194" s="117" t="s">
        <v>527</v>
      </c>
      <c r="D194" s="118"/>
      <c r="E194" s="115" t="s">
        <v>6</v>
      </c>
      <c r="F194" s="119">
        <f t="shared" si="70"/>
        <v>335.67</v>
      </c>
      <c r="G194" s="105">
        <v>55.77</v>
      </c>
      <c r="H194" s="105">
        <v>44.58</v>
      </c>
      <c r="I194" s="105">
        <v>44.58</v>
      </c>
      <c r="J194" s="105">
        <v>50.74</v>
      </c>
      <c r="K194" s="105">
        <v>44.49</v>
      </c>
      <c r="L194" s="105">
        <v>51.01</v>
      </c>
      <c r="M194" s="105">
        <v>44.5</v>
      </c>
      <c r="N194" s="106">
        <f>VLOOKUP(B194,'Форма КП'!$B$17:$G$23,5,FALSE)</f>
        <v>0</v>
      </c>
      <c r="O194" s="106">
        <f>N194*F194</f>
        <v>0</v>
      </c>
      <c r="P194" s="106"/>
      <c r="Q194" s="106"/>
      <c r="R194" s="106">
        <f>N194</f>
        <v>0</v>
      </c>
      <c r="S194" s="106">
        <f>N194*F194</f>
        <v>0</v>
      </c>
    </row>
    <row r="195" spans="1:19" x14ac:dyDescent="0.25">
      <c r="A195" s="120" t="s">
        <v>353</v>
      </c>
      <c r="B195" s="116" t="s">
        <v>252</v>
      </c>
      <c r="C195" s="121" t="s">
        <v>227</v>
      </c>
      <c r="D195" s="91">
        <v>1.4999999999999999E-2</v>
      </c>
      <c r="E195" s="120" t="s">
        <v>231</v>
      </c>
      <c r="F195" s="123">
        <f t="shared" si="70"/>
        <v>5.05</v>
      </c>
      <c r="G195" s="88">
        <f>G194*D195</f>
        <v>0.84</v>
      </c>
      <c r="H195" s="88">
        <f>H194*D195</f>
        <v>0.67</v>
      </c>
      <c r="I195" s="88">
        <f>I194*D195</f>
        <v>0.67</v>
      </c>
      <c r="J195" s="88">
        <f>J194*D195</f>
        <v>0.76</v>
      </c>
      <c r="K195" s="88">
        <f>K194*D195</f>
        <v>0.67</v>
      </c>
      <c r="L195" s="88">
        <f>L194*D195</f>
        <v>0.77</v>
      </c>
      <c r="M195" s="88">
        <f>M194*D195</f>
        <v>0.67</v>
      </c>
      <c r="N195" s="29"/>
      <c r="O195" s="29"/>
      <c r="P195" s="49" t="str">
        <f>VLOOKUP(B195,'Форма КП'!$B$25:$G$47,5,FALSE)</f>
        <v>Материал заказчика</v>
      </c>
      <c r="Q195" s="50"/>
      <c r="R195" s="49" t="str">
        <f t="shared" ref="R195:R198" si="75">P195</f>
        <v>Материал заказчика</v>
      </c>
      <c r="S195" s="50"/>
    </row>
    <row r="196" spans="1:19" x14ac:dyDescent="0.25">
      <c r="A196" s="120" t="s">
        <v>354</v>
      </c>
      <c r="B196" s="116" t="s">
        <v>229</v>
      </c>
      <c r="C196" s="121" t="s">
        <v>230</v>
      </c>
      <c r="D196" s="91">
        <v>0.8</v>
      </c>
      <c r="E196" s="120" t="s">
        <v>231</v>
      </c>
      <c r="F196" s="123">
        <f t="shared" si="70"/>
        <v>268.52999999999997</v>
      </c>
      <c r="G196" s="88">
        <f>G194*D196</f>
        <v>44.62</v>
      </c>
      <c r="H196" s="88">
        <f>H194*D196</f>
        <v>35.659999999999997</v>
      </c>
      <c r="I196" s="88">
        <f>I194*D196</f>
        <v>35.659999999999997</v>
      </c>
      <c r="J196" s="88">
        <f>J194*D196</f>
        <v>40.590000000000003</v>
      </c>
      <c r="K196" s="88">
        <f>K194*D196</f>
        <v>35.590000000000003</v>
      </c>
      <c r="L196" s="88">
        <f>L194*D196</f>
        <v>40.81</v>
      </c>
      <c r="M196" s="88">
        <f>M194*D196</f>
        <v>35.6</v>
      </c>
      <c r="N196" s="29"/>
      <c r="O196" s="29"/>
      <c r="P196" s="49" t="str">
        <f>VLOOKUP(B196,'Форма КП'!$B$25:$G$47,5,FALSE)</f>
        <v>Материал заказчика</v>
      </c>
      <c r="Q196" s="50"/>
      <c r="R196" s="49" t="str">
        <f t="shared" si="75"/>
        <v>Материал заказчика</v>
      </c>
      <c r="S196" s="50"/>
    </row>
    <row r="197" spans="1:19" x14ac:dyDescent="0.25">
      <c r="A197" s="120" t="s">
        <v>355</v>
      </c>
      <c r="B197" s="116" t="s">
        <v>232</v>
      </c>
      <c r="C197" s="121" t="s">
        <v>233</v>
      </c>
      <c r="D197" s="91">
        <v>0.02</v>
      </c>
      <c r="E197" s="120" t="s">
        <v>231</v>
      </c>
      <c r="F197" s="123">
        <f t="shared" si="70"/>
        <v>6.71</v>
      </c>
      <c r="G197" s="88">
        <f>G194*D197</f>
        <v>1.1200000000000001</v>
      </c>
      <c r="H197" s="88">
        <f>H194*D197</f>
        <v>0.89</v>
      </c>
      <c r="I197" s="88">
        <f>I194*D197</f>
        <v>0.89</v>
      </c>
      <c r="J197" s="88">
        <f>J194*D197</f>
        <v>1.01</v>
      </c>
      <c r="K197" s="88">
        <f>K194*D197</f>
        <v>0.89</v>
      </c>
      <c r="L197" s="88">
        <f>L194*D197</f>
        <v>1.02</v>
      </c>
      <c r="M197" s="88">
        <f>M194*D197</f>
        <v>0.89</v>
      </c>
      <c r="N197" s="29"/>
      <c r="O197" s="29"/>
      <c r="P197" s="49" t="str">
        <f>VLOOKUP(B197,'Форма КП'!$B$25:$G$47,5,FALSE)</f>
        <v>Материал заказчика</v>
      </c>
      <c r="Q197" s="50"/>
      <c r="R197" s="49" t="str">
        <f t="shared" si="75"/>
        <v>Материал заказчика</v>
      </c>
      <c r="S197" s="50"/>
    </row>
    <row r="198" spans="1:19" ht="24" x14ac:dyDescent="0.25">
      <c r="A198" s="120" t="s">
        <v>356</v>
      </c>
      <c r="B198" s="116" t="s">
        <v>253</v>
      </c>
      <c r="C198" s="121" t="s">
        <v>254</v>
      </c>
      <c r="D198" s="91">
        <v>0.11</v>
      </c>
      <c r="E198" s="120" t="s">
        <v>225</v>
      </c>
      <c r="F198" s="123">
        <f t="shared" si="70"/>
        <v>36.909999999999997</v>
      </c>
      <c r="G198" s="88">
        <f>G194*D198</f>
        <v>6.13</v>
      </c>
      <c r="H198" s="88">
        <f>H194*D198</f>
        <v>4.9000000000000004</v>
      </c>
      <c r="I198" s="88">
        <f>I194*D198</f>
        <v>4.9000000000000004</v>
      </c>
      <c r="J198" s="88">
        <f>J194*D198</f>
        <v>5.58</v>
      </c>
      <c r="K198" s="88">
        <f>K194*D198</f>
        <v>4.8899999999999997</v>
      </c>
      <c r="L198" s="88">
        <f>L194*D198</f>
        <v>5.61</v>
      </c>
      <c r="M198" s="88">
        <f>M194*D198</f>
        <v>4.9000000000000004</v>
      </c>
      <c r="N198" s="29"/>
      <c r="O198" s="29"/>
      <c r="P198" s="49" t="str">
        <f>VLOOKUP(B198,'Форма КП'!$B$25:$G$47,5,FALSE)</f>
        <v>Материал заказчика</v>
      </c>
      <c r="Q198" s="50"/>
      <c r="R198" s="49" t="str">
        <f t="shared" si="75"/>
        <v>Материал заказчика</v>
      </c>
      <c r="S198" s="50"/>
    </row>
    <row r="199" spans="1:19" x14ac:dyDescent="0.25">
      <c r="A199" s="114" t="s">
        <v>278</v>
      </c>
      <c r="B199" s="108"/>
      <c r="C199" s="109"/>
      <c r="D199" s="110"/>
      <c r="E199" s="111"/>
      <c r="F199" s="112"/>
      <c r="G199" s="113"/>
      <c r="H199" s="113"/>
      <c r="I199" s="113"/>
      <c r="J199" s="113"/>
      <c r="K199" s="113"/>
      <c r="L199" s="113"/>
      <c r="M199" s="113"/>
      <c r="N199" s="33"/>
      <c r="O199" s="33"/>
      <c r="P199" s="33"/>
      <c r="Q199" s="33"/>
      <c r="R199" s="33"/>
      <c r="S199" s="31"/>
    </row>
    <row r="200" spans="1:19" ht="180" x14ac:dyDescent="0.25">
      <c r="A200" s="115" t="s">
        <v>357</v>
      </c>
      <c r="B200" s="116" t="s">
        <v>259</v>
      </c>
      <c r="C200" s="117" t="s">
        <v>529</v>
      </c>
      <c r="D200" s="118"/>
      <c r="E200" s="115" t="s">
        <v>225</v>
      </c>
      <c r="F200" s="119">
        <f t="shared" ref="F200:F209" si="76">SUM(G200:M200)</f>
        <v>320.44</v>
      </c>
      <c r="G200" s="105">
        <v>45.44</v>
      </c>
      <c r="H200" s="105">
        <v>46.51</v>
      </c>
      <c r="I200" s="105">
        <v>46.51</v>
      </c>
      <c r="J200" s="105">
        <v>47.88</v>
      </c>
      <c r="K200" s="105">
        <v>46.5</v>
      </c>
      <c r="L200" s="105">
        <v>44.6</v>
      </c>
      <c r="M200" s="105">
        <v>43</v>
      </c>
      <c r="N200" s="106">
        <f>VLOOKUP(B200,'Форма КП'!$B$17:$G$23,5,FALSE)</f>
        <v>0</v>
      </c>
      <c r="O200" s="106">
        <f>N200*F200</f>
        <v>0</v>
      </c>
      <c r="P200" s="106"/>
      <c r="Q200" s="106"/>
      <c r="R200" s="106">
        <f>N200</f>
        <v>0</v>
      </c>
      <c r="S200" s="106">
        <f>N200*F200</f>
        <v>0</v>
      </c>
    </row>
    <row r="201" spans="1:19" x14ac:dyDescent="0.25">
      <c r="A201" s="120" t="s">
        <v>358</v>
      </c>
      <c r="B201" s="116" t="s">
        <v>260</v>
      </c>
      <c r="C201" s="121" t="s">
        <v>261</v>
      </c>
      <c r="D201" s="122">
        <v>5</v>
      </c>
      <c r="E201" s="120" t="s">
        <v>231</v>
      </c>
      <c r="F201" s="123">
        <f t="shared" si="76"/>
        <v>1602.2</v>
      </c>
      <c r="G201" s="88">
        <f>G200*D201</f>
        <v>227.2</v>
      </c>
      <c r="H201" s="88">
        <f>H200*D201</f>
        <v>232.55</v>
      </c>
      <c r="I201" s="88">
        <f>I200*D201</f>
        <v>232.55</v>
      </c>
      <c r="J201" s="88">
        <f>J200*D201</f>
        <v>239.4</v>
      </c>
      <c r="K201" s="88">
        <f>K200*D201</f>
        <v>232.5</v>
      </c>
      <c r="L201" s="88">
        <f>L200*D201</f>
        <v>223</v>
      </c>
      <c r="M201" s="88">
        <f>M200*D201</f>
        <v>215</v>
      </c>
      <c r="N201" s="29"/>
      <c r="O201" s="29"/>
      <c r="P201" s="49" t="str">
        <f>VLOOKUP(B201,'Форма КП'!$B$25:$G$47,5,FALSE)</f>
        <v>Материал заказчика</v>
      </c>
      <c r="Q201" s="50"/>
      <c r="R201" s="49" t="str">
        <f t="shared" ref="R201:R202" si="77">P201</f>
        <v>Материал заказчика</v>
      </c>
      <c r="S201" s="50"/>
    </row>
    <row r="202" spans="1:19" x14ac:dyDescent="0.25">
      <c r="A202" s="120" t="s">
        <v>359</v>
      </c>
      <c r="B202" s="116" t="s">
        <v>262</v>
      </c>
      <c r="C202" s="121" t="s">
        <v>263</v>
      </c>
      <c r="D202" s="122" t="s">
        <v>518</v>
      </c>
      <c r="E202" s="120" t="s">
        <v>225</v>
      </c>
      <c r="F202" s="123">
        <f t="shared" si="76"/>
        <v>130.08000000000001</v>
      </c>
      <c r="G202" s="88">
        <f>54.02*0.3*1.15</f>
        <v>18.64</v>
      </c>
      <c r="H202" s="88">
        <f>53.51*0.3*1.15</f>
        <v>18.46</v>
      </c>
      <c r="I202" s="88">
        <f>53.51*0.3*1.15</f>
        <v>18.46</v>
      </c>
      <c r="J202" s="88">
        <f>58*0.3*1.15</f>
        <v>20.010000000000002</v>
      </c>
      <c r="K202" s="88">
        <f>53.51*0.3*1.15</f>
        <v>18.46</v>
      </c>
      <c r="L202" s="88">
        <f>54.3*0.3*1.15</f>
        <v>18.73</v>
      </c>
      <c r="M202" s="88">
        <f>50.2*0.3*1.15</f>
        <v>17.32</v>
      </c>
      <c r="N202" s="29"/>
      <c r="O202" s="29"/>
      <c r="P202" s="49" t="str">
        <f>VLOOKUP(B202,'Форма КП'!$B$25:$G$47,5,FALSE)</f>
        <v>Материал заказчика</v>
      </c>
      <c r="Q202" s="50"/>
      <c r="R202" s="49" t="str">
        <f t="shared" si="77"/>
        <v>Материал заказчика</v>
      </c>
      <c r="S202" s="50"/>
    </row>
    <row r="203" spans="1:19" ht="144" x14ac:dyDescent="0.25">
      <c r="A203" s="115" t="s">
        <v>360</v>
      </c>
      <c r="B203" s="116" t="s">
        <v>280</v>
      </c>
      <c r="C203" s="117" t="s">
        <v>531</v>
      </c>
      <c r="D203" s="118"/>
      <c r="E203" s="115" t="s">
        <v>225</v>
      </c>
      <c r="F203" s="119">
        <f t="shared" si="76"/>
        <v>2074.85</v>
      </c>
      <c r="G203" s="105">
        <v>302.60000000000002</v>
      </c>
      <c r="H203" s="105">
        <v>286.55</v>
      </c>
      <c r="I203" s="105">
        <v>286.55</v>
      </c>
      <c r="J203" s="105">
        <v>315.45999999999998</v>
      </c>
      <c r="K203" s="105">
        <v>286.55</v>
      </c>
      <c r="L203" s="105">
        <v>313.24</v>
      </c>
      <c r="M203" s="105">
        <v>283.89999999999998</v>
      </c>
      <c r="N203" s="106">
        <f>VLOOKUP(B203,'Форма КП'!$B$17:$G$23,5,FALSE)</f>
        <v>0</v>
      </c>
      <c r="O203" s="106">
        <f>N203*F203</f>
        <v>0</v>
      </c>
      <c r="P203" s="106"/>
      <c r="Q203" s="106"/>
      <c r="R203" s="106">
        <f>N203</f>
        <v>0</v>
      </c>
      <c r="S203" s="106">
        <f>N203*F203</f>
        <v>0</v>
      </c>
    </row>
    <row r="204" spans="1:19" x14ac:dyDescent="0.25">
      <c r="A204" s="120" t="s">
        <v>361</v>
      </c>
      <c r="B204" s="116" t="s">
        <v>281</v>
      </c>
      <c r="C204" s="121" t="s">
        <v>282</v>
      </c>
      <c r="D204" s="122">
        <v>1.1499999999999999</v>
      </c>
      <c r="E204" s="120" t="s">
        <v>225</v>
      </c>
      <c r="F204" s="123">
        <f t="shared" si="76"/>
        <v>2386.08</v>
      </c>
      <c r="G204" s="88">
        <f>G203*D204</f>
        <v>347.99</v>
      </c>
      <c r="H204" s="88">
        <f>H203*D204</f>
        <v>329.53</v>
      </c>
      <c r="I204" s="88">
        <f>I203*D204</f>
        <v>329.53</v>
      </c>
      <c r="J204" s="88">
        <f>J203*D204</f>
        <v>362.78</v>
      </c>
      <c r="K204" s="88">
        <f>K203*D204</f>
        <v>329.53</v>
      </c>
      <c r="L204" s="88">
        <f>L203*D204</f>
        <v>360.23</v>
      </c>
      <c r="M204" s="88">
        <f>M203*D204</f>
        <v>326.49</v>
      </c>
      <c r="N204" s="29"/>
      <c r="O204" s="29"/>
      <c r="P204" s="49" t="str">
        <f>VLOOKUP(B204,'Форма КП'!$B$25:$G$47,5,FALSE)</f>
        <v>Материал заказчика</v>
      </c>
      <c r="Q204" s="50"/>
      <c r="R204" s="49" t="str">
        <f t="shared" ref="R204" si="78">P204</f>
        <v>Материал заказчика</v>
      </c>
      <c r="S204" s="50"/>
    </row>
    <row r="205" spans="1:19" ht="168" x14ac:dyDescent="0.25">
      <c r="A205" s="115" t="s">
        <v>362</v>
      </c>
      <c r="B205" s="116" t="s">
        <v>264</v>
      </c>
      <c r="C205" s="117" t="s">
        <v>530</v>
      </c>
      <c r="D205" s="118"/>
      <c r="E205" s="115" t="s">
        <v>225</v>
      </c>
      <c r="F205" s="119">
        <f t="shared" si="76"/>
        <v>2074.85</v>
      </c>
      <c r="G205" s="105">
        <v>302.60000000000002</v>
      </c>
      <c r="H205" s="105">
        <v>286.55</v>
      </c>
      <c r="I205" s="105">
        <v>286.55</v>
      </c>
      <c r="J205" s="105">
        <v>315.45999999999998</v>
      </c>
      <c r="K205" s="105">
        <v>286.55</v>
      </c>
      <c r="L205" s="105">
        <v>313.24</v>
      </c>
      <c r="M205" s="105">
        <v>283.89999999999998</v>
      </c>
      <c r="N205" s="106">
        <f>VLOOKUP(B205,'Форма КП'!$B$17:$G$23,5,FALSE)</f>
        <v>0</v>
      </c>
      <c r="O205" s="106">
        <f>N205*F205</f>
        <v>0</v>
      </c>
      <c r="P205" s="106"/>
      <c r="Q205" s="106"/>
      <c r="R205" s="106">
        <f>N205</f>
        <v>0</v>
      </c>
      <c r="S205" s="106">
        <f>N205*F205</f>
        <v>0</v>
      </c>
    </row>
    <row r="206" spans="1:19" x14ac:dyDescent="0.25">
      <c r="A206" s="120" t="s">
        <v>363</v>
      </c>
      <c r="B206" s="116" t="s">
        <v>265</v>
      </c>
      <c r="C206" s="121" t="s">
        <v>266</v>
      </c>
      <c r="D206" s="91">
        <v>6.1199999999999997E-2</v>
      </c>
      <c r="E206" s="120" t="s">
        <v>267</v>
      </c>
      <c r="F206" s="125">
        <f t="shared" si="76"/>
        <v>126.98099999999999</v>
      </c>
      <c r="G206" s="89">
        <f>G205*D206</f>
        <v>18.518999999999998</v>
      </c>
      <c r="H206" s="89">
        <f>H205*D206</f>
        <v>17.536999999999999</v>
      </c>
      <c r="I206" s="89">
        <f>I205*D206</f>
        <v>17.536999999999999</v>
      </c>
      <c r="J206" s="89">
        <f>J205*D206</f>
        <v>19.306000000000001</v>
      </c>
      <c r="K206" s="89">
        <f>K205*D206</f>
        <v>17.536999999999999</v>
      </c>
      <c r="L206" s="89">
        <f>L205*D206</f>
        <v>19.170000000000002</v>
      </c>
      <c r="M206" s="89">
        <f>M205*D206</f>
        <v>17.375</v>
      </c>
      <c r="N206" s="29"/>
      <c r="O206" s="29"/>
      <c r="P206" s="86">
        <f>VLOOKUP(B206,'Форма КП'!$B$25:$G$47,5,FALSE)</f>
        <v>0</v>
      </c>
      <c r="Q206" s="86">
        <f t="shared" ref="Q206:Q209" si="79">P206*F206</f>
        <v>0</v>
      </c>
      <c r="R206" s="32">
        <f t="shared" ref="R206:R209" si="80">P206</f>
        <v>0</v>
      </c>
      <c r="S206" s="32">
        <f t="shared" ref="S206:S209" si="81">P206*F206</f>
        <v>0</v>
      </c>
    </row>
    <row r="207" spans="1:19" x14ac:dyDescent="0.25">
      <c r="A207" s="120" t="s">
        <v>364</v>
      </c>
      <c r="B207" s="116" t="s">
        <v>268</v>
      </c>
      <c r="C207" s="121" t="s">
        <v>269</v>
      </c>
      <c r="D207" s="91">
        <v>7.3440000000000005E-2</v>
      </c>
      <c r="E207" s="120" t="s">
        <v>231</v>
      </c>
      <c r="F207" s="123">
        <f t="shared" si="76"/>
        <v>152.36000000000001</v>
      </c>
      <c r="G207" s="88">
        <f>G205*D207</f>
        <v>22.22</v>
      </c>
      <c r="H207" s="88">
        <f>H205*D207</f>
        <v>21.04</v>
      </c>
      <c r="I207" s="88">
        <f>I205*D207</f>
        <v>21.04</v>
      </c>
      <c r="J207" s="88">
        <f>J205*D207</f>
        <v>23.17</v>
      </c>
      <c r="K207" s="88">
        <f>K205*D207</f>
        <v>21.04</v>
      </c>
      <c r="L207" s="88">
        <f>L205*D207</f>
        <v>23</v>
      </c>
      <c r="M207" s="88">
        <f>M205*D207</f>
        <v>20.85</v>
      </c>
      <c r="N207" s="29"/>
      <c r="O207" s="29"/>
      <c r="P207" s="86">
        <f>VLOOKUP(B207,'Форма КП'!$B$25:$G$47,5,FALSE)</f>
        <v>0</v>
      </c>
      <c r="Q207" s="86">
        <f t="shared" si="79"/>
        <v>0</v>
      </c>
      <c r="R207" s="32">
        <f t="shared" si="80"/>
        <v>0</v>
      </c>
      <c r="S207" s="32">
        <f t="shared" si="81"/>
        <v>0</v>
      </c>
    </row>
    <row r="208" spans="1:19" ht="36" x14ac:dyDescent="0.25">
      <c r="A208" s="120" t="s">
        <v>365</v>
      </c>
      <c r="B208" s="116" t="s">
        <v>270</v>
      </c>
      <c r="C208" s="121" t="s">
        <v>271</v>
      </c>
      <c r="D208" s="91" t="s">
        <v>518</v>
      </c>
      <c r="E208" s="120" t="s">
        <v>6</v>
      </c>
      <c r="F208" s="123">
        <f t="shared" si="76"/>
        <v>2089.34</v>
      </c>
      <c r="G208" s="88">
        <f>290*1.1</f>
        <v>319</v>
      </c>
      <c r="H208" s="88">
        <f>256.7*1.1</f>
        <v>282.37</v>
      </c>
      <c r="I208" s="88">
        <f>256.7*1.1</f>
        <v>282.37</v>
      </c>
      <c r="J208" s="88">
        <f>293.3*1.1</f>
        <v>322.63</v>
      </c>
      <c r="K208" s="88">
        <f>246.7*1.1</f>
        <v>271.37</v>
      </c>
      <c r="L208" s="88">
        <f>300*1.1</f>
        <v>330</v>
      </c>
      <c r="M208" s="88">
        <f>256*1.1</f>
        <v>281.60000000000002</v>
      </c>
      <c r="N208" s="29"/>
      <c r="O208" s="29"/>
      <c r="P208" s="86">
        <f>VLOOKUP(B208,'Форма КП'!$B$25:$G$47,5,FALSE)</f>
        <v>0</v>
      </c>
      <c r="Q208" s="86">
        <f t="shared" si="79"/>
        <v>0</v>
      </c>
      <c r="R208" s="32">
        <f t="shared" si="80"/>
        <v>0</v>
      </c>
      <c r="S208" s="32">
        <f t="shared" si="81"/>
        <v>0</v>
      </c>
    </row>
    <row r="209" spans="1:19" x14ac:dyDescent="0.25">
      <c r="A209" s="120" t="s">
        <v>366</v>
      </c>
      <c r="B209" s="116" t="s">
        <v>272</v>
      </c>
      <c r="C209" s="121" t="s">
        <v>273</v>
      </c>
      <c r="D209" s="91">
        <v>1.1499999999999999</v>
      </c>
      <c r="E209" s="120" t="s">
        <v>225</v>
      </c>
      <c r="F209" s="123">
        <f t="shared" si="76"/>
        <v>2017.59</v>
      </c>
      <c r="G209" s="88">
        <f>(G205-G200)*D209</f>
        <v>295.73</v>
      </c>
      <c r="H209" s="88">
        <f>(H205-H200)*D209</f>
        <v>276.05</v>
      </c>
      <c r="I209" s="88">
        <f>(I205-I200)*D209</f>
        <v>276.05</v>
      </c>
      <c r="J209" s="88">
        <f>(J205-J200)*D209</f>
        <v>307.72000000000003</v>
      </c>
      <c r="K209" s="88">
        <f>(K205-K200)*D209</f>
        <v>276.06</v>
      </c>
      <c r="L209" s="88">
        <f>(L205-L200)*D209</f>
        <v>308.94</v>
      </c>
      <c r="M209" s="88">
        <f>(M205-M200)*D209</f>
        <v>277.04000000000002</v>
      </c>
      <c r="N209" s="29"/>
      <c r="O209" s="29"/>
      <c r="P209" s="86">
        <f>VLOOKUP(B209,'Форма КП'!$B$25:$G$47,5,FALSE)</f>
        <v>0</v>
      </c>
      <c r="Q209" s="86">
        <f t="shared" si="79"/>
        <v>0</v>
      </c>
      <c r="R209" s="32">
        <f t="shared" si="80"/>
        <v>0</v>
      </c>
      <c r="S209" s="32">
        <f t="shared" si="81"/>
        <v>0</v>
      </c>
    </row>
    <row r="210" spans="1:19" x14ac:dyDescent="0.25">
      <c r="A210" s="107" t="s">
        <v>367</v>
      </c>
      <c r="B210" s="108"/>
      <c r="C210" s="109"/>
      <c r="D210" s="110"/>
      <c r="E210" s="111"/>
      <c r="F210" s="112"/>
      <c r="G210" s="113"/>
      <c r="H210" s="113"/>
      <c r="I210" s="113"/>
      <c r="J210" s="113"/>
      <c r="K210" s="113"/>
      <c r="L210" s="113"/>
      <c r="M210" s="113"/>
      <c r="N210" s="33"/>
      <c r="O210" s="33"/>
      <c r="P210" s="33"/>
      <c r="Q210" s="33"/>
      <c r="R210" s="33"/>
      <c r="S210" s="31"/>
    </row>
    <row r="211" spans="1:19" x14ac:dyDescent="0.25">
      <c r="A211" s="114" t="s">
        <v>223</v>
      </c>
      <c r="B211" s="108"/>
      <c r="C211" s="109"/>
      <c r="D211" s="110"/>
      <c r="E211" s="111"/>
      <c r="F211" s="112"/>
      <c r="G211" s="113"/>
      <c r="H211" s="113"/>
      <c r="I211" s="113"/>
      <c r="J211" s="113"/>
      <c r="K211" s="113"/>
      <c r="L211" s="113"/>
      <c r="M211" s="113"/>
      <c r="N211" s="33"/>
      <c r="O211" s="33"/>
      <c r="P211" s="33"/>
      <c r="Q211" s="33"/>
      <c r="R211" s="33"/>
      <c r="S211" s="31"/>
    </row>
    <row r="212" spans="1:19" ht="168" x14ac:dyDescent="0.25">
      <c r="A212" s="115" t="s">
        <v>368</v>
      </c>
      <c r="B212" s="116" t="s">
        <v>264</v>
      </c>
      <c r="C212" s="117" t="s">
        <v>530</v>
      </c>
      <c r="D212" s="118"/>
      <c r="E212" s="115" t="s">
        <v>225</v>
      </c>
      <c r="F212" s="119">
        <f t="shared" ref="F212:F225" si="82">SUM(G212:M212)</f>
        <v>359.27</v>
      </c>
      <c r="G212" s="105">
        <v>68.44</v>
      </c>
      <c r="H212" s="105">
        <v>43.48</v>
      </c>
      <c r="I212" s="105">
        <v>43.52</v>
      </c>
      <c r="J212" s="105">
        <v>58.02</v>
      </c>
      <c r="K212" s="105">
        <v>43.39</v>
      </c>
      <c r="L212" s="105">
        <v>59.05</v>
      </c>
      <c r="M212" s="105">
        <v>43.37</v>
      </c>
      <c r="N212" s="106">
        <f>VLOOKUP(B212,'Форма КП'!$B$17:$G$23,5,FALSE)</f>
        <v>0</v>
      </c>
      <c r="O212" s="106">
        <f>N212*F212</f>
        <v>0</v>
      </c>
      <c r="P212" s="106"/>
      <c r="Q212" s="106"/>
      <c r="R212" s="106">
        <f>N212</f>
        <v>0</v>
      </c>
      <c r="S212" s="106">
        <f>N212*F212</f>
        <v>0</v>
      </c>
    </row>
    <row r="213" spans="1:19" x14ac:dyDescent="0.25">
      <c r="A213" s="120" t="s">
        <v>369</v>
      </c>
      <c r="B213" s="116" t="s">
        <v>265</v>
      </c>
      <c r="C213" s="121" t="s">
        <v>266</v>
      </c>
      <c r="D213" s="91">
        <v>6.1199999999999997E-2</v>
      </c>
      <c r="E213" s="120" t="s">
        <v>267</v>
      </c>
      <c r="F213" s="125">
        <f t="shared" si="82"/>
        <v>21.986999999999998</v>
      </c>
      <c r="G213" s="89">
        <f>G212*D213</f>
        <v>4.1890000000000001</v>
      </c>
      <c r="H213" s="89">
        <f>H212*D213</f>
        <v>2.661</v>
      </c>
      <c r="I213" s="89">
        <f>I212*D213</f>
        <v>2.6629999999999998</v>
      </c>
      <c r="J213" s="89">
        <f>J212*D213</f>
        <v>3.5510000000000002</v>
      </c>
      <c r="K213" s="89">
        <f>K212*D213</f>
        <v>2.6549999999999998</v>
      </c>
      <c r="L213" s="89">
        <f>L212*D213</f>
        <v>3.6139999999999999</v>
      </c>
      <c r="M213" s="89">
        <f>M212*D213</f>
        <v>2.6539999999999999</v>
      </c>
      <c r="N213" s="29"/>
      <c r="O213" s="29"/>
      <c r="P213" s="86">
        <f>VLOOKUP(B213,'Форма КП'!$B$25:$G$47,5,FALSE)</f>
        <v>0</v>
      </c>
      <c r="Q213" s="86">
        <f t="shared" ref="Q213:Q215" si="83">P213*F213</f>
        <v>0</v>
      </c>
      <c r="R213" s="32">
        <f t="shared" ref="R213:R215" si="84">P213</f>
        <v>0</v>
      </c>
      <c r="S213" s="32">
        <f t="shared" ref="S213:S215" si="85">P213*F213</f>
        <v>0</v>
      </c>
    </row>
    <row r="214" spans="1:19" x14ac:dyDescent="0.25">
      <c r="A214" s="120" t="s">
        <v>370</v>
      </c>
      <c r="B214" s="116" t="s">
        <v>268</v>
      </c>
      <c r="C214" s="121" t="s">
        <v>269</v>
      </c>
      <c r="D214" s="91">
        <v>7.3440000000000005E-2</v>
      </c>
      <c r="E214" s="120" t="s">
        <v>231</v>
      </c>
      <c r="F214" s="123">
        <f t="shared" si="82"/>
        <v>26.4</v>
      </c>
      <c r="G214" s="88">
        <f>G212*D214</f>
        <v>5.03</v>
      </c>
      <c r="H214" s="88">
        <f>H212*D214</f>
        <v>3.19</v>
      </c>
      <c r="I214" s="88">
        <f>I212*D214</f>
        <v>3.2</v>
      </c>
      <c r="J214" s="88">
        <f>J212*D214</f>
        <v>4.26</v>
      </c>
      <c r="K214" s="88">
        <f>K212*D214</f>
        <v>3.19</v>
      </c>
      <c r="L214" s="88">
        <f>L212*D214</f>
        <v>4.34</v>
      </c>
      <c r="M214" s="88">
        <f>M212*D214</f>
        <v>3.19</v>
      </c>
      <c r="N214" s="29"/>
      <c r="O214" s="29"/>
      <c r="P214" s="86">
        <f>VLOOKUP(B214,'Форма КП'!$B$25:$G$47,5,FALSE)</f>
        <v>0</v>
      </c>
      <c r="Q214" s="86">
        <f t="shared" si="83"/>
        <v>0</v>
      </c>
      <c r="R214" s="32">
        <f t="shared" si="84"/>
        <v>0</v>
      </c>
      <c r="S214" s="32">
        <f t="shared" si="85"/>
        <v>0</v>
      </c>
    </row>
    <row r="215" spans="1:19" ht="36" x14ac:dyDescent="0.25">
      <c r="A215" s="120" t="s">
        <v>371</v>
      </c>
      <c r="B215" s="116" t="s">
        <v>270</v>
      </c>
      <c r="C215" s="121" t="s">
        <v>271</v>
      </c>
      <c r="D215" s="91" t="s">
        <v>518</v>
      </c>
      <c r="E215" s="120" t="s">
        <v>6</v>
      </c>
      <c r="F215" s="123">
        <f t="shared" si="82"/>
        <v>486.17</v>
      </c>
      <c r="G215" s="90">
        <f>(95.43-8.39)*1.1</f>
        <v>95.74</v>
      </c>
      <c r="H215" s="90">
        <f>(58.9-7.4)*1.1</f>
        <v>56.65</v>
      </c>
      <c r="I215" s="90">
        <f>(58.98-7.4)*1.1</f>
        <v>56.74</v>
      </c>
      <c r="J215" s="90">
        <f>(81.65-6.4)*1.1</f>
        <v>82.78</v>
      </c>
      <c r="K215" s="90">
        <f>(58.98-7.4)*1.1</f>
        <v>56.74</v>
      </c>
      <c r="L215" s="90">
        <f>(80.84-7.4)*1.1</f>
        <v>80.78</v>
      </c>
      <c r="M215" s="90">
        <f>(58.98-7.4)*1.1</f>
        <v>56.74</v>
      </c>
      <c r="N215" s="29"/>
      <c r="O215" s="29"/>
      <c r="P215" s="86">
        <f>VLOOKUP(B215,'Форма КП'!$B$25:$G$47,5,FALSE)</f>
        <v>0</v>
      </c>
      <c r="Q215" s="86">
        <f t="shared" si="83"/>
        <v>0</v>
      </c>
      <c r="R215" s="32">
        <f t="shared" si="84"/>
        <v>0</v>
      </c>
      <c r="S215" s="32">
        <f t="shared" si="85"/>
        <v>0</v>
      </c>
    </row>
    <row r="216" spans="1:19" ht="156" x14ac:dyDescent="0.25">
      <c r="A216" s="115" t="s">
        <v>372</v>
      </c>
      <c r="B216" s="116" t="s">
        <v>224</v>
      </c>
      <c r="C216" s="117" t="s">
        <v>525</v>
      </c>
      <c r="D216" s="118"/>
      <c r="E216" s="115" t="s">
        <v>225</v>
      </c>
      <c r="F216" s="119">
        <f t="shared" si="82"/>
        <v>330.45</v>
      </c>
      <c r="G216" s="105">
        <v>56.34</v>
      </c>
      <c r="H216" s="105">
        <v>43.25</v>
      </c>
      <c r="I216" s="105">
        <v>43.24</v>
      </c>
      <c r="J216" s="105">
        <v>50.72</v>
      </c>
      <c r="K216" s="105">
        <v>43.11</v>
      </c>
      <c r="L216" s="105">
        <v>50.7</v>
      </c>
      <c r="M216" s="105">
        <v>43.09</v>
      </c>
      <c r="N216" s="106">
        <f>VLOOKUP(B216,'Форма КП'!$B$17:$G$23,5,FALSE)</f>
        <v>0</v>
      </c>
      <c r="O216" s="106">
        <f>N216*F216</f>
        <v>0</v>
      </c>
      <c r="P216" s="106"/>
      <c r="Q216" s="106"/>
      <c r="R216" s="106">
        <f>N216</f>
        <v>0</v>
      </c>
      <c r="S216" s="106">
        <f>N216*F216</f>
        <v>0</v>
      </c>
    </row>
    <row r="217" spans="1:19" x14ac:dyDescent="0.25">
      <c r="A217" s="120" t="s">
        <v>373</v>
      </c>
      <c r="B217" s="116" t="s">
        <v>226</v>
      </c>
      <c r="C217" s="121" t="s">
        <v>227</v>
      </c>
      <c r="D217" s="91">
        <v>0.15</v>
      </c>
      <c r="E217" s="120" t="s">
        <v>228</v>
      </c>
      <c r="F217" s="123">
        <f t="shared" si="82"/>
        <v>49.58</v>
      </c>
      <c r="G217" s="88">
        <f>G216*D217</f>
        <v>8.4499999999999993</v>
      </c>
      <c r="H217" s="88">
        <f>H216*D217</f>
        <v>6.49</v>
      </c>
      <c r="I217" s="88">
        <f>I216*D217</f>
        <v>6.49</v>
      </c>
      <c r="J217" s="88">
        <f>J216*D217</f>
        <v>7.61</v>
      </c>
      <c r="K217" s="88">
        <f>K216*D217</f>
        <v>6.47</v>
      </c>
      <c r="L217" s="88">
        <f>L216*D217</f>
        <v>7.61</v>
      </c>
      <c r="M217" s="88">
        <f>M216*D217</f>
        <v>6.46</v>
      </c>
      <c r="N217" s="29"/>
      <c r="O217" s="29"/>
      <c r="P217" s="49" t="str">
        <f>VLOOKUP(B217,'Форма КП'!$B$25:$G$47,5,FALSE)</f>
        <v>Материал заказчика</v>
      </c>
      <c r="Q217" s="50"/>
      <c r="R217" s="49" t="str">
        <f t="shared" ref="R217:R220" si="86">P217</f>
        <v>Материал заказчика</v>
      </c>
      <c r="S217" s="50"/>
    </row>
    <row r="218" spans="1:19" x14ac:dyDescent="0.25">
      <c r="A218" s="120" t="s">
        <v>374</v>
      </c>
      <c r="B218" s="116" t="s">
        <v>229</v>
      </c>
      <c r="C218" s="121" t="s">
        <v>230</v>
      </c>
      <c r="D218" s="91">
        <v>8</v>
      </c>
      <c r="E218" s="120" t="s">
        <v>231</v>
      </c>
      <c r="F218" s="123">
        <f t="shared" si="82"/>
        <v>2643.6</v>
      </c>
      <c r="G218" s="88">
        <f>G216*D218</f>
        <v>450.72</v>
      </c>
      <c r="H218" s="88">
        <f>H216*D218</f>
        <v>346</v>
      </c>
      <c r="I218" s="88">
        <f>I216*D218</f>
        <v>345.92</v>
      </c>
      <c r="J218" s="88">
        <f>J216*D218</f>
        <v>405.76</v>
      </c>
      <c r="K218" s="88">
        <f>K216*D218</f>
        <v>344.88</v>
      </c>
      <c r="L218" s="88">
        <f>L216*D218</f>
        <v>405.6</v>
      </c>
      <c r="M218" s="88">
        <f>M216*D218</f>
        <v>344.72</v>
      </c>
      <c r="N218" s="29"/>
      <c r="O218" s="29"/>
      <c r="P218" s="49" t="str">
        <f>VLOOKUP(B218,'Форма КП'!$B$25:$G$47,5,FALSE)</f>
        <v>Материал заказчика</v>
      </c>
      <c r="Q218" s="50"/>
      <c r="R218" s="49" t="str">
        <f t="shared" si="86"/>
        <v>Материал заказчика</v>
      </c>
      <c r="S218" s="50"/>
    </row>
    <row r="219" spans="1:19" x14ac:dyDescent="0.25">
      <c r="A219" s="120" t="s">
        <v>375</v>
      </c>
      <c r="B219" s="116" t="s">
        <v>232</v>
      </c>
      <c r="C219" s="121" t="s">
        <v>233</v>
      </c>
      <c r="D219" s="91">
        <v>0.2</v>
      </c>
      <c r="E219" s="120" t="s">
        <v>231</v>
      </c>
      <c r="F219" s="123">
        <f t="shared" si="82"/>
        <v>66.09</v>
      </c>
      <c r="G219" s="88">
        <f>G216*D219</f>
        <v>11.27</v>
      </c>
      <c r="H219" s="88">
        <f>H216*D219</f>
        <v>8.65</v>
      </c>
      <c r="I219" s="88">
        <f>I216*D219</f>
        <v>8.65</v>
      </c>
      <c r="J219" s="88">
        <f>J216*D219</f>
        <v>10.14</v>
      </c>
      <c r="K219" s="88">
        <f>K216*D219</f>
        <v>8.6199999999999992</v>
      </c>
      <c r="L219" s="88">
        <f>L216*D219</f>
        <v>10.14</v>
      </c>
      <c r="M219" s="88">
        <f>M216*D219</f>
        <v>8.6199999999999992</v>
      </c>
      <c r="N219" s="29"/>
      <c r="O219" s="29"/>
      <c r="P219" s="49" t="str">
        <f>VLOOKUP(B219,'Форма КП'!$B$25:$G$47,5,FALSE)</f>
        <v>Материал заказчика</v>
      </c>
      <c r="Q219" s="50"/>
      <c r="R219" s="49" t="str">
        <f t="shared" si="86"/>
        <v>Материал заказчика</v>
      </c>
      <c r="S219" s="50"/>
    </row>
    <row r="220" spans="1:19" x14ac:dyDescent="0.25">
      <c r="A220" s="120" t="s">
        <v>376</v>
      </c>
      <c r="B220" s="116" t="s">
        <v>276</v>
      </c>
      <c r="C220" s="121" t="s">
        <v>277</v>
      </c>
      <c r="D220" s="91">
        <v>1.05</v>
      </c>
      <c r="E220" s="120" t="s">
        <v>225</v>
      </c>
      <c r="F220" s="123">
        <f t="shared" si="82"/>
        <v>346.98</v>
      </c>
      <c r="G220" s="88">
        <f>G216*D220</f>
        <v>59.16</v>
      </c>
      <c r="H220" s="88">
        <f>H216*D220</f>
        <v>45.41</v>
      </c>
      <c r="I220" s="88">
        <f>I216*D220</f>
        <v>45.4</v>
      </c>
      <c r="J220" s="88">
        <f>J216*D220</f>
        <v>53.26</v>
      </c>
      <c r="K220" s="88">
        <f>K216*D220</f>
        <v>45.27</v>
      </c>
      <c r="L220" s="88">
        <f>L216*D220</f>
        <v>53.24</v>
      </c>
      <c r="M220" s="88">
        <f>M216*D220</f>
        <v>45.24</v>
      </c>
      <c r="N220" s="29"/>
      <c r="O220" s="29"/>
      <c r="P220" s="49" t="str">
        <f>VLOOKUP(B220,'Форма КП'!$B$25:$G$47,5,FALSE)</f>
        <v>Материал заказчика</v>
      </c>
      <c r="Q220" s="50"/>
      <c r="R220" s="49" t="str">
        <f t="shared" si="86"/>
        <v>Материал заказчика</v>
      </c>
      <c r="S220" s="50"/>
    </row>
    <row r="221" spans="1:19" ht="168" x14ac:dyDescent="0.25">
      <c r="A221" s="115" t="s">
        <v>377</v>
      </c>
      <c r="B221" s="116" t="s">
        <v>251</v>
      </c>
      <c r="C221" s="117" t="s">
        <v>527</v>
      </c>
      <c r="D221" s="118"/>
      <c r="E221" s="115" t="s">
        <v>6</v>
      </c>
      <c r="F221" s="119">
        <f t="shared" si="82"/>
        <v>335.67</v>
      </c>
      <c r="G221" s="105">
        <v>55.77</v>
      </c>
      <c r="H221" s="105">
        <v>44.58</v>
      </c>
      <c r="I221" s="105">
        <v>44.58</v>
      </c>
      <c r="J221" s="105">
        <v>50.74</v>
      </c>
      <c r="K221" s="105">
        <v>44.49</v>
      </c>
      <c r="L221" s="105">
        <v>51.01</v>
      </c>
      <c r="M221" s="105">
        <v>44.5</v>
      </c>
      <c r="N221" s="106">
        <f>VLOOKUP(B221,'Форма КП'!$B$17:$G$23,5,FALSE)</f>
        <v>0</v>
      </c>
      <c r="O221" s="106">
        <f>N221*F221</f>
        <v>0</v>
      </c>
      <c r="P221" s="106"/>
      <c r="Q221" s="106"/>
      <c r="R221" s="106">
        <f>N221</f>
        <v>0</v>
      </c>
      <c r="S221" s="106">
        <f>N221*F221</f>
        <v>0</v>
      </c>
    </row>
    <row r="222" spans="1:19" x14ac:dyDescent="0.25">
      <c r="A222" s="120" t="s">
        <v>378</v>
      </c>
      <c r="B222" s="116" t="s">
        <v>252</v>
      </c>
      <c r="C222" s="121" t="s">
        <v>227</v>
      </c>
      <c r="D222" s="91">
        <v>1.4999999999999999E-2</v>
      </c>
      <c r="E222" s="120" t="s">
        <v>231</v>
      </c>
      <c r="F222" s="123">
        <f t="shared" si="82"/>
        <v>5.05</v>
      </c>
      <c r="G222" s="88">
        <f>G221*D222</f>
        <v>0.84</v>
      </c>
      <c r="H222" s="88">
        <f>H221*D222</f>
        <v>0.67</v>
      </c>
      <c r="I222" s="88">
        <f>I221*D222</f>
        <v>0.67</v>
      </c>
      <c r="J222" s="88">
        <f>J221*D222</f>
        <v>0.76</v>
      </c>
      <c r="K222" s="88">
        <f>K221*D222</f>
        <v>0.67</v>
      </c>
      <c r="L222" s="88">
        <f>L221*D222</f>
        <v>0.77</v>
      </c>
      <c r="M222" s="88">
        <f>M221*D222</f>
        <v>0.67</v>
      </c>
      <c r="N222" s="29"/>
      <c r="O222" s="29"/>
      <c r="P222" s="49" t="str">
        <f>VLOOKUP(B222,'Форма КП'!$B$25:$G$47,5,FALSE)</f>
        <v>Материал заказчика</v>
      </c>
      <c r="Q222" s="50"/>
      <c r="R222" s="49" t="str">
        <f t="shared" ref="R222:R225" si="87">P222</f>
        <v>Материал заказчика</v>
      </c>
      <c r="S222" s="50"/>
    </row>
    <row r="223" spans="1:19" x14ac:dyDescent="0.25">
      <c r="A223" s="120" t="s">
        <v>379</v>
      </c>
      <c r="B223" s="116" t="s">
        <v>229</v>
      </c>
      <c r="C223" s="121" t="s">
        <v>230</v>
      </c>
      <c r="D223" s="91">
        <v>0.8</v>
      </c>
      <c r="E223" s="120" t="s">
        <v>231</v>
      </c>
      <c r="F223" s="123">
        <f t="shared" si="82"/>
        <v>268.52999999999997</v>
      </c>
      <c r="G223" s="88">
        <f>G221*D223</f>
        <v>44.62</v>
      </c>
      <c r="H223" s="88">
        <f>H221*D223</f>
        <v>35.659999999999997</v>
      </c>
      <c r="I223" s="88">
        <f>I221*D223</f>
        <v>35.659999999999997</v>
      </c>
      <c r="J223" s="88">
        <f>J221*D223</f>
        <v>40.590000000000003</v>
      </c>
      <c r="K223" s="88">
        <f>K221*D223</f>
        <v>35.590000000000003</v>
      </c>
      <c r="L223" s="88">
        <f>L221*D223</f>
        <v>40.81</v>
      </c>
      <c r="M223" s="88">
        <f>M221*D223</f>
        <v>35.6</v>
      </c>
      <c r="N223" s="29"/>
      <c r="O223" s="29"/>
      <c r="P223" s="49" t="str">
        <f>VLOOKUP(B223,'Форма КП'!$B$25:$G$47,5,FALSE)</f>
        <v>Материал заказчика</v>
      </c>
      <c r="Q223" s="50"/>
      <c r="R223" s="49" t="str">
        <f t="shared" si="87"/>
        <v>Материал заказчика</v>
      </c>
      <c r="S223" s="50"/>
    </row>
    <row r="224" spans="1:19" x14ac:dyDescent="0.25">
      <c r="A224" s="120" t="s">
        <v>380</v>
      </c>
      <c r="B224" s="116" t="s">
        <v>232</v>
      </c>
      <c r="C224" s="121" t="s">
        <v>233</v>
      </c>
      <c r="D224" s="91">
        <v>0.02</v>
      </c>
      <c r="E224" s="120" t="s">
        <v>231</v>
      </c>
      <c r="F224" s="123">
        <f t="shared" si="82"/>
        <v>6.71</v>
      </c>
      <c r="G224" s="88">
        <f>G221*D224</f>
        <v>1.1200000000000001</v>
      </c>
      <c r="H224" s="88">
        <f>H221*D224</f>
        <v>0.89</v>
      </c>
      <c r="I224" s="88">
        <f>I221*D224</f>
        <v>0.89</v>
      </c>
      <c r="J224" s="88">
        <f>J221*D224</f>
        <v>1.01</v>
      </c>
      <c r="K224" s="88">
        <f>K221*D224</f>
        <v>0.89</v>
      </c>
      <c r="L224" s="88">
        <f>L221*D224</f>
        <v>1.02</v>
      </c>
      <c r="M224" s="88">
        <f>M221*D224</f>
        <v>0.89</v>
      </c>
      <c r="N224" s="29"/>
      <c r="O224" s="29"/>
      <c r="P224" s="49" t="str">
        <f>VLOOKUP(B224,'Форма КП'!$B$25:$G$47,5,FALSE)</f>
        <v>Материал заказчика</v>
      </c>
      <c r="Q224" s="50"/>
      <c r="R224" s="49" t="str">
        <f t="shared" si="87"/>
        <v>Материал заказчика</v>
      </c>
      <c r="S224" s="50"/>
    </row>
    <row r="225" spans="1:19" ht="24" x14ac:dyDescent="0.25">
      <c r="A225" s="120" t="s">
        <v>381</v>
      </c>
      <c r="B225" s="116" t="s">
        <v>253</v>
      </c>
      <c r="C225" s="121" t="s">
        <v>254</v>
      </c>
      <c r="D225" s="91">
        <v>0.11</v>
      </c>
      <c r="E225" s="120" t="s">
        <v>225</v>
      </c>
      <c r="F225" s="123">
        <f t="shared" si="82"/>
        <v>36.909999999999997</v>
      </c>
      <c r="G225" s="88">
        <f>G221*D225</f>
        <v>6.13</v>
      </c>
      <c r="H225" s="88">
        <f>H221*D225</f>
        <v>4.9000000000000004</v>
      </c>
      <c r="I225" s="88">
        <f>I221*D225</f>
        <v>4.9000000000000004</v>
      </c>
      <c r="J225" s="88">
        <f>J221*D225</f>
        <v>5.58</v>
      </c>
      <c r="K225" s="88">
        <f>K221*D225</f>
        <v>4.8899999999999997</v>
      </c>
      <c r="L225" s="88">
        <f>L221*D225</f>
        <v>5.61</v>
      </c>
      <c r="M225" s="88">
        <f>M221*D225</f>
        <v>4.9000000000000004</v>
      </c>
      <c r="N225" s="29"/>
      <c r="O225" s="29"/>
      <c r="P225" s="49" t="str">
        <f>VLOOKUP(B225,'Форма КП'!$B$25:$G$47,5,FALSE)</f>
        <v>Материал заказчика</v>
      </c>
      <c r="Q225" s="50"/>
      <c r="R225" s="49" t="str">
        <f t="shared" si="87"/>
        <v>Материал заказчика</v>
      </c>
      <c r="S225" s="50"/>
    </row>
    <row r="226" spans="1:19" x14ac:dyDescent="0.25">
      <c r="A226" s="114" t="s">
        <v>278</v>
      </c>
      <c r="B226" s="108"/>
      <c r="C226" s="109"/>
      <c r="D226" s="110"/>
      <c r="E226" s="111"/>
      <c r="F226" s="112"/>
      <c r="G226" s="113"/>
      <c r="H226" s="113"/>
      <c r="I226" s="113"/>
      <c r="J226" s="113"/>
      <c r="K226" s="113"/>
      <c r="L226" s="113"/>
      <c r="M226" s="113"/>
      <c r="N226" s="33"/>
      <c r="O226" s="33"/>
      <c r="P226" s="33"/>
      <c r="Q226" s="33"/>
      <c r="R226" s="33"/>
      <c r="S226" s="31"/>
    </row>
    <row r="227" spans="1:19" ht="180" x14ac:dyDescent="0.25">
      <c r="A227" s="115" t="s">
        <v>382</v>
      </c>
      <c r="B227" s="116" t="s">
        <v>259</v>
      </c>
      <c r="C227" s="117" t="s">
        <v>529</v>
      </c>
      <c r="D227" s="118"/>
      <c r="E227" s="115" t="s">
        <v>225</v>
      </c>
      <c r="F227" s="119">
        <f t="shared" ref="F227:F236" si="88">SUM(G227:M227)</f>
        <v>320.44</v>
      </c>
      <c r="G227" s="105">
        <v>45.44</v>
      </c>
      <c r="H227" s="105">
        <v>46.51</v>
      </c>
      <c r="I227" s="105">
        <v>46.51</v>
      </c>
      <c r="J227" s="105">
        <v>47.88</v>
      </c>
      <c r="K227" s="105">
        <v>46.5</v>
      </c>
      <c r="L227" s="105">
        <v>44.6</v>
      </c>
      <c r="M227" s="105">
        <v>43</v>
      </c>
      <c r="N227" s="106">
        <f>VLOOKUP(B227,'Форма КП'!$B$17:$G$23,5,FALSE)</f>
        <v>0</v>
      </c>
      <c r="O227" s="106">
        <f>N227*F227</f>
        <v>0</v>
      </c>
      <c r="P227" s="106"/>
      <c r="Q227" s="106"/>
      <c r="R227" s="106">
        <f>N227</f>
        <v>0</v>
      </c>
      <c r="S227" s="106">
        <f>N227*F227</f>
        <v>0</v>
      </c>
    </row>
    <row r="228" spans="1:19" x14ac:dyDescent="0.25">
      <c r="A228" s="120" t="s">
        <v>383</v>
      </c>
      <c r="B228" s="116" t="s">
        <v>260</v>
      </c>
      <c r="C228" s="121" t="s">
        <v>261</v>
      </c>
      <c r="D228" s="122">
        <v>5</v>
      </c>
      <c r="E228" s="120" t="s">
        <v>231</v>
      </c>
      <c r="F228" s="123">
        <f t="shared" si="88"/>
        <v>1602.2</v>
      </c>
      <c r="G228" s="88">
        <f>G227*D228</f>
        <v>227.2</v>
      </c>
      <c r="H228" s="88">
        <f>H227*D228</f>
        <v>232.55</v>
      </c>
      <c r="I228" s="88">
        <f>I227*D228</f>
        <v>232.55</v>
      </c>
      <c r="J228" s="88">
        <f>J227*D228</f>
        <v>239.4</v>
      </c>
      <c r="K228" s="88">
        <f>K227*D228</f>
        <v>232.5</v>
      </c>
      <c r="L228" s="88">
        <f>L227*D228</f>
        <v>223</v>
      </c>
      <c r="M228" s="88">
        <f>M227*D228</f>
        <v>215</v>
      </c>
      <c r="N228" s="29"/>
      <c r="O228" s="29"/>
      <c r="P228" s="49" t="str">
        <f>VLOOKUP(B228,'Форма КП'!$B$25:$G$47,5,FALSE)</f>
        <v>Материал заказчика</v>
      </c>
      <c r="Q228" s="50"/>
      <c r="R228" s="49" t="str">
        <f t="shared" ref="R228:R229" si="89">P228</f>
        <v>Материал заказчика</v>
      </c>
      <c r="S228" s="50"/>
    </row>
    <row r="229" spans="1:19" x14ac:dyDescent="0.25">
      <c r="A229" s="120" t="s">
        <v>384</v>
      </c>
      <c r="B229" s="116" t="s">
        <v>262</v>
      </c>
      <c r="C229" s="121" t="s">
        <v>263</v>
      </c>
      <c r="D229" s="122" t="s">
        <v>518</v>
      </c>
      <c r="E229" s="120" t="s">
        <v>225</v>
      </c>
      <c r="F229" s="123">
        <f t="shared" si="88"/>
        <v>130.08000000000001</v>
      </c>
      <c r="G229" s="88">
        <f>54.02*0.3*1.15</f>
        <v>18.64</v>
      </c>
      <c r="H229" s="88">
        <f>53.51*0.3*1.15</f>
        <v>18.46</v>
      </c>
      <c r="I229" s="88">
        <f>53.51*0.3*1.15</f>
        <v>18.46</v>
      </c>
      <c r="J229" s="88">
        <f>58*0.3*1.15</f>
        <v>20.010000000000002</v>
      </c>
      <c r="K229" s="88">
        <f>53.51*0.3*1.15</f>
        <v>18.46</v>
      </c>
      <c r="L229" s="88">
        <f>54.3*0.3*1.15</f>
        <v>18.73</v>
      </c>
      <c r="M229" s="88">
        <f>50.2*0.3*1.15</f>
        <v>17.32</v>
      </c>
      <c r="N229" s="29"/>
      <c r="O229" s="29"/>
      <c r="P229" s="49" t="str">
        <f>VLOOKUP(B229,'Форма КП'!$B$25:$G$47,5,FALSE)</f>
        <v>Материал заказчика</v>
      </c>
      <c r="Q229" s="50"/>
      <c r="R229" s="49" t="str">
        <f t="shared" si="89"/>
        <v>Материал заказчика</v>
      </c>
      <c r="S229" s="50"/>
    </row>
    <row r="230" spans="1:19" ht="144" x14ac:dyDescent="0.25">
      <c r="A230" s="115" t="s">
        <v>385</v>
      </c>
      <c r="B230" s="116" t="s">
        <v>280</v>
      </c>
      <c r="C230" s="117" t="s">
        <v>531</v>
      </c>
      <c r="D230" s="118"/>
      <c r="E230" s="115" t="s">
        <v>225</v>
      </c>
      <c r="F230" s="119">
        <f t="shared" si="88"/>
        <v>2074.85</v>
      </c>
      <c r="G230" s="105">
        <v>302.60000000000002</v>
      </c>
      <c r="H230" s="105">
        <v>286.55</v>
      </c>
      <c r="I230" s="105">
        <v>286.55</v>
      </c>
      <c r="J230" s="105">
        <v>315.45999999999998</v>
      </c>
      <c r="K230" s="105">
        <v>286.55</v>
      </c>
      <c r="L230" s="105">
        <v>313.24</v>
      </c>
      <c r="M230" s="105">
        <v>283.89999999999998</v>
      </c>
      <c r="N230" s="106">
        <f>VLOOKUP(B230,'Форма КП'!$B$17:$G$23,5,FALSE)</f>
        <v>0</v>
      </c>
      <c r="O230" s="106">
        <f>N230*F230</f>
        <v>0</v>
      </c>
      <c r="P230" s="106"/>
      <c r="Q230" s="106"/>
      <c r="R230" s="106">
        <f>N230</f>
        <v>0</v>
      </c>
      <c r="S230" s="106">
        <f>N230*F230</f>
        <v>0</v>
      </c>
    </row>
    <row r="231" spans="1:19" x14ac:dyDescent="0.25">
      <c r="A231" s="120" t="s">
        <v>386</v>
      </c>
      <c r="B231" s="116" t="s">
        <v>281</v>
      </c>
      <c r="C231" s="121" t="s">
        <v>282</v>
      </c>
      <c r="D231" s="122">
        <v>1.1499999999999999</v>
      </c>
      <c r="E231" s="120" t="s">
        <v>225</v>
      </c>
      <c r="F231" s="123">
        <f t="shared" si="88"/>
        <v>2386.08</v>
      </c>
      <c r="G231" s="88">
        <f>G230*D231</f>
        <v>347.99</v>
      </c>
      <c r="H231" s="88">
        <f>H230*D231</f>
        <v>329.53</v>
      </c>
      <c r="I231" s="88">
        <f>I230*D231</f>
        <v>329.53</v>
      </c>
      <c r="J231" s="88">
        <f>J230*D231</f>
        <v>362.78</v>
      </c>
      <c r="K231" s="88">
        <f>K230*D231</f>
        <v>329.53</v>
      </c>
      <c r="L231" s="88">
        <f>L230*D231</f>
        <v>360.23</v>
      </c>
      <c r="M231" s="88">
        <f>M230*D231</f>
        <v>326.49</v>
      </c>
      <c r="N231" s="29"/>
      <c r="O231" s="29"/>
      <c r="P231" s="49" t="str">
        <f>VLOOKUP(B231,'Форма КП'!$B$25:$G$47,5,FALSE)</f>
        <v>Материал заказчика</v>
      </c>
      <c r="Q231" s="50"/>
      <c r="R231" s="49" t="str">
        <f t="shared" ref="R231" si="90">P231</f>
        <v>Материал заказчика</v>
      </c>
      <c r="S231" s="50"/>
    </row>
    <row r="232" spans="1:19" ht="168" x14ac:dyDescent="0.25">
      <c r="A232" s="115" t="s">
        <v>387</v>
      </c>
      <c r="B232" s="116" t="s">
        <v>264</v>
      </c>
      <c r="C232" s="117" t="s">
        <v>530</v>
      </c>
      <c r="D232" s="118"/>
      <c r="E232" s="115" t="s">
        <v>225</v>
      </c>
      <c r="F232" s="119">
        <f t="shared" si="88"/>
        <v>2074.85</v>
      </c>
      <c r="G232" s="105">
        <v>302.60000000000002</v>
      </c>
      <c r="H232" s="105">
        <v>286.55</v>
      </c>
      <c r="I232" s="105">
        <v>286.55</v>
      </c>
      <c r="J232" s="105">
        <v>315.45999999999998</v>
      </c>
      <c r="K232" s="105">
        <v>286.55</v>
      </c>
      <c r="L232" s="105">
        <v>313.24</v>
      </c>
      <c r="M232" s="105">
        <v>283.89999999999998</v>
      </c>
      <c r="N232" s="106">
        <f>VLOOKUP(B232,'Форма КП'!$B$17:$G$23,5,FALSE)</f>
        <v>0</v>
      </c>
      <c r="O232" s="106">
        <f>N232*F232</f>
        <v>0</v>
      </c>
      <c r="P232" s="106"/>
      <c r="Q232" s="106"/>
      <c r="R232" s="106">
        <f>N232</f>
        <v>0</v>
      </c>
      <c r="S232" s="106">
        <f>N232*F232</f>
        <v>0</v>
      </c>
    </row>
    <row r="233" spans="1:19" x14ac:dyDescent="0.25">
      <c r="A233" s="120" t="s">
        <v>388</v>
      </c>
      <c r="B233" s="116" t="s">
        <v>265</v>
      </c>
      <c r="C233" s="121" t="s">
        <v>266</v>
      </c>
      <c r="D233" s="91">
        <v>6.1199999999999997E-2</v>
      </c>
      <c r="E233" s="120" t="s">
        <v>267</v>
      </c>
      <c r="F233" s="125">
        <f t="shared" si="88"/>
        <v>126.98099999999999</v>
      </c>
      <c r="G233" s="89">
        <f>G232*D233</f>
        <v>18.518999999999998</v>
      </c>
      <c r="H233" s="89">
        <f>H232*D233</f>
        <v>17.536999999999999</v>
      </c>
      <c r="I233" s="89">
        <f>I232*D233</f>
        <v>17.536999999999999</v>
      </c>
      <c r="J233" s="89">
        <f>J232*D233</f>
        <v>19.306000000000001</v>
      </c>
      <c r="K233" s="89">
        <f>K232*D233</f>
        <v>17.536999999999999</v>
      </c>
      <c r="L233" s="89">
        <f>L232*D233</f>
        <v>19.170000000000002</v>
      </c>
      <c r="M233" s="89">
        <f>M232*D233</f>
        <v>17.375</v>
      </c>
      <c r="N233" s="29"/>
      <c r="O233" s="29"/>
      <c r="P233" s="86">
        <f>VLOOKUP(B233,'Форма КП'!$B$25:$G$47,5,FALSE)</f>
        <v>0</v>
      </c>
      <c r="Q233" s="86">
        <f t="shared" ref="Q233:Q236" si="91">P233*F233</f>
        <v>0</v>
      </c>
      <c r="R233" s="32">
        <f t="shared" ref="R233:R236" si="92">P233</f>
        <v>0</v>
      </c>
      <c r="S233" s="32">
        <f t="shared" ref="S233:S236" si="93">P233*F233</f>
        <v>0</v>
      </c>
    </row>
    <row r="234" spans="1:19" x14ac:dyDescent="0.25">
      <c r="A234" s="120" t="s">
        <v>389</v>
      </c>
      <c r="B234" s="116" t="s">
        <v>268</v>
      </c>
      <c r="C234" s="121" t="s">
        <v>269</v>
      </c>
      <c r="D234" s="91">
        <v>7.3440000000000005E-2</v>
      </c>
      <c r="E234" s="120" t="s">
        <v>231</v>
      </c>
      <c r="F234" s="123">
        <f t="shared" si="88"/>
        <v>152.36000000000001</v>
      </c>
      <c r="G234" s="88">
        <f>G232*D234</f>
        <v>22.22</v>
      </c>
      <c r="H234" s="88">
        <f>H232*D234</f>
        <v>21.04</v>
      </c>
      <c r="I234" s="88">
        <f>I232*D234</f>
        <v>21.04</v>
      </c>
      <c r="J234" s="88">
        <f>J232*D234</f>
        <v>23.17</v>
      </c>
      <c r="K234" s="88">
        <f>K232*D234</f>
        <v>21.04</v>
      </c>
      <c r="L234" s="88">
        <f>L232*D234</f>
        <v>23</v>
      </c>
      <c r="M234" s="88">
        <f>M232*D234</f>
        <v>20.85</v>
      </c>
      <c r="N234" s="29"/>
      <c r="O234" s="29"/>
      <c r="P234" s="86">
        <f>VLOOKUP(B234,'Форма КП'!$B$25:$G$47,5,FALSE)</f>
        <v>0</v>
      </c>
      <c r="Q234" s="86">
        <f t="shared" si="91"/>
        <v>0</v>
      </c>
      <c r="R234" s="32">
        <f t="shared" si="92"/>
        <v>0</v>
      </c>
      <c r="S234" s="32">
        <f t="shared" si="93"/>
        <v>0</v>
      </c>
    </row>
    <row r="235" spans="1:19" ht="36" x14ac:dyDescent="0.25">
      <c r="A235" s="120" t="s">
        <v>390</v>
      </c>
      <c r="B235" s="116" t="s">
        <v>270</v>
      </c>
      <c r="C235" s="121" t="s">
        <v>271</v>
      </c>
      <c r="D235" s="91" t="s">
        <v>518</v>
      </c>
      <c r="E235" s="120" t="s">
        <v>6</v>
      </c>
      <c r="F235" s="123">
        <f t="shared" si="88"/>
        <v>2089.34</v>
      </c>
      <c r="G235" s="88">
        <f>290*1.1</f>
        <v>319</v>
      </c>
      <c r="H235" s="88">
        <f>256.7*1.1</f>
        <v>282.37</v>
      </c>
      <c r="I235" s="88">
        <f>256.7*1.1</f>
        <v>282.37</v>
      </c>
      <c r="J235" s="88">
        <f>293.3*1.1</f>
        <v>322.63</v>
      </c>
      <c r="K235" s="88">
        <f>246.7*1.1</f>
        <v>271.37</v>
      </c>
      <c r="L235" s="88">
        <f>300*1.1</f>
        <v>330</v>
      </c>
      <c r="M235" s="88">
        <f>256*1.1</f>
        <v>281.60000000000002</v>
      </c>
      <c r="N235" s="29"/>
      <c r="O235" s="29"/>
      <c r="P235" s="86">
        <f>VLOOKUP(B235,'Форма КП'!$B$25:$G$47,5,FALSE)</f>
        <v>0</v>
      </c>
      <c r="Q235" s="86">
        <f t="shared" si="91"/>
        <v>0</v>
      </c>
      <c r="R235" s="32">
        <f t="shared" si="92"/>
        <v>0</v>
      </c>
      <c r="S235" s="32">
        <f t="shared" si="93"/>
        <v>0</v>
      </c>
    </row>
    <row r="236" spans="1:19" x14ac:dyDescent="0.25">
      <c r="A236" s="120" t="s">
        <v>391</v>
      </c>
      <c r="B236" s="116" t="s">
        <v>272</v>
      </c>
      <c r="C236" s="121" t="s">
        <v>273</v>
      </c>
      <c r="D236" s="91">
        <v>1.1499999999999999</v>
      </c>
      <c r="E236" s="120" t="s">
        <v>225</v>
      </c>
      <c r="F236" s="123">
        <f t="shared" si="88"/>
        <v>2017.59</v>
      </c>
      <c r="G236" s="88">
        <f>(G232-G227)*D236</f>
        <v>295.73</v>
      </c>
      <c r="H236" s="88">
        <f>(H232-H227)*D236</f>
        <v>276.05</v>
      </c>
      <c r="I236" s="88">
        <f>(I232-I227)*D236</f>
        <v>276.05</v>
      </c>
      <c r="J236" s="88">
        <f>(J232-J227)*D236</f>
        <v>307.72000000000003</v>
      </c>
      <c r="K236" s="88">
        <f>(K232-K227)*D236</f>
        <v>276.06</v>
      </c>
      <c r="L236" s="88">
        <f>(L232-L227)*D236</f>
        <v>308.94</v>
      </c>
      <c r="M236" s="88">
        <f>(M232-M227)*D236</f>
        <v>277.04000000000002</v>
      </c>
      <c r="N236" s="29"/>
      <c r="O236" s="29"/>
      <c r="P236" s="86">
        <f>VLOOKUP(B236,'Форма КП'!$B$25:$G$47,5,FALSE)</f>
        <v>0</v>
      </c>
      <c r="Q236" s="86">
        <f t="shared" si="91"/>
        <v>0</v>
      </c>
      <c r="R236" s="32">
        <f t="shared" si="92"/>
        <v>0</v>
      </c>
      <c r="S236" s="32">
        <f t="shared" si="93"/>
        <v>0</v>
      </c>
    </row>
    <row r="237" spans="1:19" x14ac:dyDescent="0.25">
      <c r="A237" s="107" t="s">
        <v>392</v>
      </c>
      <c r="B237" s="108"/>
      <c r="C237" s="109"/>
      <c r="D237" s="110"/>
      <c r="E237" s="111"/>
      <c r="F237" s="112"/>
      <c r="G237" s="113"/>
      <c r="H237" s="113"/>
      <c r="I237" s="113"/>
      <c r="J237" s="113"/>
      <c r="K237" s="113"/>
      <c r="L237" s="113"/>
      <c r="M237" s="113"/>
      <c r="N237" s="33"/>
      <c r="O237" s="33"/>
      <c r="P237" s="33"/>
      <c r="Q237" s="33"/>
      <c r="R237" s="33"/>
      <c r="S237" s="31"/>
    </row>
    <row r="238" spans="1:19" x14ac:dyDescent="0.25">
      <c r="A238" s="114" t="s">
        <v>223</v>
      </c>
      <c r="B238" s="108"/>
      <c r="C238" s="109"/>
      <c r="D238" s="110"/>
      <c r="E238" s="111"/>
      <c r="F238" s="112"/>
      <c r="G238" s="113"/>
      <c r="H238" s="113"/>
      <c r="I238" s="113"/>
      <c r="J238" s="113"/>
      <c r="K238" s="113"/>
      <c r="L238" s="113"/>
      <c r="M238" s="113"/>
      <c r="N238" s="33"/>
      <c r="O238" s="33"/>
      <c r="P238" s="33"/>
      <c r="Q238" s="33"/>
      <c r="R238" s="33"/>
      <c r="S238" s="31"/>
    </row>
    <row r="239" spans="1:19" ht="168" x14ac:dyDescent="0.25">
      <c r="A239" s="115" t="s">
        <v>393</v>
      </c>
      <c r="B239" s="116" t="s">
        <v>264</v>
      </c>
      <c r="C239" s="117" t="s">
        <v>530</v>
      </c>
      <c r="D239" s="118"/>
      <c r="E239" s="115" t="s">
        <v>225</v>
      </c>
      <c r="F239" s="119">
        <f t="shared" ref="F239:F252" si="94">SUM(G239:M239)</f>
        <v>359.27</v>
      </c>
      <c r="G239" s="105">
        <v>68.44</v>
      </c>
      <c r="H239" s="105">
        <v>43.48</v>
      </c>
      <c r="I239" s="105">
        <v>43.52</v>
      </c>
      <c r="J239" s="105">
        <v>58.02</v>
      </c>
      <c r="K239" s="105">
        <v>43.39</v>
      </c>
      <c r="L239" s="105">
        <v>59.05</v>
      </c>
      <c r="M239" s="105">
        <v>43.37</v>
      </c>
      <c r="N239" s="106">
        <f>VLOOKUP(B239,'Форма КП'!$B$17:$G$23,5,FALSE)</f>
        <v>0</v>
      </c>
      <c r="O239" s="106">
        <f>N239*F239</f>
        <v>0</v>
      </c>
      <c r="P239" s="106"/>
      <c r="Q239" s="106"/>
      <c r="R239" s="106">
        <f>N239</f>
        <v>0</v>
      </c>
      <c r="S239" s="106">
        <f>N239*F239</f>
        <v>0</v>
      </c>
    </row>
    <row r="240" spans="1:19" x14ac:dyDescent="0.25">
      <c r="A240" s="120" t="s">
        <v>394</v>
      </c>
      <c r="B240" s="116" t="s">
        <v>265</v>
      </c>
      <c r="C240" s="121" t="s">
        <v>266</v>
      </c>
      <c r="D240" s="91">
        <v>6.1199999999999997E-2</v>
      </c>
      <c r="E240" s="120" t="s">
        <v>267</v>
      </c>
      <c r="F240" s="125">
        <f t="shared" si="94"/>
        <v>21.986999999999998</v>
      </c>
      <c r="G240" s="89">
        <f>G239*D240</f>
        <v>4.1890000000000001</v>
      </c>
      <c r="H240" s="89">
        <f>H239*D240</f>
        <v>2.661</v>
      </c>
      <c r="I240" s="89">
        <f>I239*D240</f>
        <v>2.6629999999999998</v>
      </c>
      <c r="J240" s="89">
        <f>J239*D240</f>
        <v>3.5510000000000002</v>
      </c>
      <c r="K240" s="89">
        <f>K239*D240</f>
        <v>2.6549999999999998</v>
      </c>
      <c r="L240" s="89">
        <f>L239*D240</f>
        <v>3.6139999999999999</v>
      </c>
      <c r="M240" s="89">
        <f>M239*D240</f>
        <v>2.6539999999999999</v>
      </c>
      <c r="N240" s="29"/>
      <c r="O240" s="29"/>
      <c r="P240" s="86">
        <f>VLOOKUP(B240,'Форма КП'!$B$25:$G$47,5,FALSE)</f>
        <v>0</v>
      </c>
      <c r="Q240" s="86">
        <f t="shared" ref="Q240:Q242" si="95">P240*F240</f>
        <v>0</v>
      </c>
      <c r="R240" s="32">
        <f t="shared" ref="R240:R242" si="96">P240</f>
        <v>0</v>
      </c>
      <c r="S240" s="32">
        <f t="shared" ref="S240:S242" si="97">P240*F240</f>
        <v>0</v>
      </c>
    </row>
    <row r="241" spans="1:19" x14ac:dyDescent="0.25">
      <c r="A241" s="120" t="s">
        <v>395</v>
      </c>
      <c r="B241" s="116" t="s">
        <v>268</v>
      </c>
      <c r="C241" s="121" t="s">
        <v>269</v>
      </c>
      <c r="D241" s="91">
        <v>7.3440000000000005E-2</v>
      </c>
      <c r="E241" s="120" t="s">
        <v>231</v>
      </c>
      <c r="F241" s="123">
        <f t="shared" si="94"/>
        <v>26.4</v>
      </c>
      <c r="G241" s="88">
        <f>G239*D241</f>
        <v>5.03</v>
      </c>
      <c r="H241" s="88">
        <f>H239*D241</f>
        <v>3.19</v>
      </c>
      <c r="I241" s="88">
        <f>I239*D241</f>
        <v>3.2</v>
      </c>
      <c r="J241" s="88">
        <f>J239*D241</f>
        <v>4.26</v>
      </c>
      <c r="K241" s="88">
        <f>K239*D241</f>
        <v>3.19</v>
      </c>
      <c r="L241" s="88">
        <f>L239*D241</f>
        <v>4.34</v>
      </c>
      <c r="M241" s="88">
        <f>M239*D241</f>
        <v>3.19</v>
      </c>
      <c r="N241" s="29"/>
      <c r="O241" s="29"/>
      <c r="P241" s="86">
        <f>VLOOKUP(B241,'Форма КП'!$B$25:$G$47,5,FALSE)</f>
        <v>0</v>
      </c>
      <c r="Q241" s="86">
        <f t="shared" si="95"/>
        <v>0</v>
      </c>
      <c r="R241" s="32">
        <f t="shared" si="96"/>
        <v>0</v>
      </c>
      <c r="S241" s="32">
        <f t="shared" si="97"/>
        <v>0</v>
      </c>
    </row>
    <row r="242" spans="1:19" ht="36" x14ac:dyDescent="0.25">
      <c r="A242" s="120" t="s">
        <v>396</v>
      </c>
      <c r="B242" s="116" t="s">
        <v>270</v>
      </c>
      <c r="C242" s="121" t="s">
        <v>271</v>
      </c>
      <c r="D242" s="91" t="s">
        <v>518</v>
      </c>
      <c r="E242" s="120" t="s">
        <v>6</v>
      </c>
      <c r="F242" s="123">
        <f t="shared" si="94"/>
        <v>486.17</v>
      </c>
      <c r="G242" s="90">
        <f>(95.43-8.39)*1.1</f>
        <v>95.74</v>
      </c>
      <c r="H242" s="90">
        <f>(58.9-7.4)*1.1</f>
        <v>56.65</v>
      </c>
      <c r="I242" s="90">
        <f>(58.98-7.4)*1.1</f>
        <v>56.74</v>
      </c>
      <c r="J242" s="90">
        <f>(81.65-6.4)*1.1</f>
        <v>82.78</v>
      </c>
      <c r="K242" s="90">
        <f>(58.98-7.4)*1.1</f>
        <v>56.74</v>
      </c>
      <c r="L242" s="90">
        <f>(80.84-7.4)*1.1</f>
        <v>80.78</v>
      </c>
      <c r="M242" s="90">
        <f>(58.98-7.4)*1.1</f>
        <v>56.74</v>
      </c>
      <c r="N242" s="29"/>
      <c r="O242" s="29"/>
      <c r="P242" s="86">
        <f>VLOOKUP(B242,'Форма КП'!$B$25:$G$47,5,FALSE)</f>
        <v>0</v>
      </c>
      <c r="Q242" s="86">
        <f t="shared" si="95"/>
        <v>0</v>
      </c>
      <c r="R242" s="32">
        <f t="shared" si="96"/>
        <v>0</v>
      </c>
      <c r="S242" s="32">
        <f t="shared" si="97"/>
        <v>0</v>
      </c>
    </row>
    <row r="243" spans="1:19" ht="156" x14ac:dyDescent="0.25">
      <c r="A243" s="115" t="s">
        <v>397</v>
      </c>
      <c r="B243" s="116" t="s">
        <v>224</v>
      </c>
      <c r="C243" s="117" t="s">
        <v>525</v>
      </c>
      <c r="D243" s="118"/>
      <c r="E243" s="115" t="s">
        <v>225</v>
      </c>
      <c r="F243" s="119">
        <f t="shared" si="94"/>
        <v>330.45</v>
      </c>
      <c r="G243" s="105">
        <v>56.34</v>
      </c>
      <c r="H243" s="105">
        <v>43.25</v>
      </c>
      <c r="I243" s="105">
        <v>43.24</v>
      </c>
      <c r="J243" s="105">
        <v>50.72</v>
      </c>
      <c r="K243" s="105">
        <v>43.11</v>
      </c>
      <c r="L243" s="105">
        <v>50.7</v>
      </c>
      <c r="M243" s="105">
        <v>43.09</v>
      </c>
      <c r="N243" s="106">
        <f>VLOOKUP(B243,'Форма КП'!$B$17:$G$23,5,FALSE)</f>
        <v>0</v>
      </c>
      <c r="O243" s="106">
        <f>N243*F243</f>
        <v>0</v>
      </c>
      <c r="P243" s="106"/>
      <c r="Q243" s="106"/>
      <c r="R243" s="106">
        <f>N243</f>
        <v>0</v>
      </c>
      <c r="S243" s="106">
        <f>N243*F243</f>
        <v>0</v>
      </c>
    </row>
    <row r="244" spans="1:19" x14ac:dyDescent="0.25">
      <c r="A244" s="120" t="s">
        <v>398</v>
      </c>
      <c r="B244" s="116" t="s">
        <v>226</v>
      </c>
      <c r="C244" s="121" t="s">
        <v>227</v>
      </c>
      <c r="D244" s="91">
        <v>0.15</v>
      </c>
      <c r="E244" s="120" t="s">
        <v>228</v>
      </c>
      <c r="F244" s="123">
        <f t="shared" si="94"/>
        <v>49.58</v>
      </c>
      <c r="G244" s="88">
        <f>G243*D244</f>
        <v>8.4499999999999993</v>
      </c>
      <c r="H244" s="88">
        <f>H243*D244</f>
        <v>6.49</v>
      </c>
      <c r="I244" s="88">
        <f>I243*D244</f>
        <v>6.49</v>
      </c>
      <c r="J244" s="88">
        <f>J243*D244</f>
        <v>7.61</v>
      </c>
      <c r="K244" s="88">
        <f>K243*D244</f>
        <v>6.47</v>
      </c>
      <c r="L244" s="88">
        <f>L243*D244</f>
        <v>7.61</v>
      </c>
      <c r="M244" s="88">
        <f>M243*D244</f>
        <v>6.46</v>
      </c>
      <c r="N244" s="29"/>
      <c r="O244" s="29"/>
      <c r="P244" s="49" t="str">
        <f>VLOOKUP(B244,'Форма КП'!$B$25:$G$47,5,FALSE)</f>
        <v>Материал заказчика</v>
      </c>
      <c r="Q244" s="50"/>
      <c r="R244" s="49" t="str">
        <f t="shared" ref="R244:R247" si="98">P244</f>
        <v>Материал заказчика</v>
      </c>
      <c r="S244" s="50"/>
    </row>
    <row r="245" spans="1:19" x14ac:dyDescent="0.25">
      <c r="A245" s="120" t="s">
        <v>399</v>
      </c>
      <c r="B245" s="116" t="s">
        <v>229</v>
      </c>
      <c r="C245" s="121" t="s">
        <v>230</v>
      </c>
      <c r="D245" s="91">
        <v>8</v>
      </c>
      <c r="E245" s="120" t="s">
        <v>231</v>
      </c>
      <c r="F245" s="123">
        <f t="shared" si="94"/>
        <v>2643.6</v>
      </c>
      <c r="G245" s="88">
        <f>G243*D245</f>
        <v>450.72</v>
      </c>
      <c r="H245" s="88">
        <f>H243*D245</f>
        <v>346</v>
      </c>
      <c r="I245" s="88">
        <f>I243*D245</f>
        <v>345.92</v>
      </c>
      <c r="J245" s="88">
        <f>J243*D245</f>
        <v>405.76</v>
      </c>
      <c r="K245" s="88">
        <f>K243*D245</f>
        <v>344.88</v>
      </c>
      <c r="L245" s="88">
        <f>L243*D245</f>
        <v>405.6</v>
      </c>
      <c r="M245" s="88">
        <f>M243*D245</f>
        <v>344.72</v>
      </c>
      <c r="N245" s="29"/>
      <c r="O245" s="29"/>
      <c r="P245" s="49" t="str">
        <f>VLOOKUP(B245,'Форма КП'!$B$25:$G$47,5,FALSE)</f>
        <v>Материал заказчика</v>
      </c>
      <c r="Q245" s="50"/>
      <c r="R245" s="49" t="str">
        <f t="shared" si="98"/>
        <v>Материал заказчика</v>
      </c>
      <c r="S245" s="50"/>
    </row>
    <row r="246" spans="1:19" x14ac:dyDescent="0.25">
      <c r="A246" s="120" t="s">
        <v>400</v>
      </c>
      <c r="B246" s="116" t="s">
        <v>232</v>
      </c>
      <c r="C246" s="121" t="s">
        <v>233</v>
      </c>
      <c r="D246" s="91">
        <v>0.2</v>
      </c>
      <c r="E246" s="120" t="s">
        <v>231</v>
      </c>
      <c r="F246" s="123">
        <f t="shared" si="94"/>
        <v>66.09</v>
      </c>
      <c r="G246" s="88">
        <f>G243*D246</f>
        <v>11.27</v>
      </c>
      <c r="H246" s="88">
        <f>H243*D246</f>
        <v>8.65</v>
      </c>
      <c r="I246" s="88">
        <f>I243*D246</f>
        <v>8.65</v>
      </c>
      <c r="J246" s="88">
        <f>J243*D246</f>
        <v>10.14</v>
      </c>
      <c r="K246" s="88">
        <f>K243*D246</f>
        <v>8.6199999999999992</v>
      </c>
      <c r="L246" s="88">
        <f>L243*D246</f>
        <v>10.14</v>
      </c>
      <c r="M246" s="88">
        <f>M243*D246</f>
        <v>8.6199999999999992</v>
      </c>
      <c r="N246" s="29"/>
      <c r="O246" s="29"/>
      <c r="P246" s="49" t="str">
        <f>VLOOKUP(B246,'Форма КП'!$B$25:$G$47,5,FALSE)</f>
        <v>Материал заказчика</v>
      </c>
      <c r="Q246" s="50"/>
      <c r="R246" s="49" t="str">
        <f t="shared" si="98"/>
        <v>Материал заказчика</v>
      </c>
      <c r="S246" s="50"/>
    </row>
    <row r="247" spans="1:19" x14ac:dyDescent="0.25">
      <c r="A247" s="120" t="s">
        <v>401</v>
      </c>
      <c r="B247" s="116" t="s">
        <v>276</v>
      </c>
      <c r="C247" s="121" t="s">
        <v>277</v>
      </c>
      <c r="D247" s="91">
        <v>1.05</v>
      </c>
      <c r="E247" s="120" t="s">
        <v>225</v>
      </c>
      <c r="F247" s="123">
        <f t="shared" si="94"/>
        <v>346.98</v>
      </c>
      <c r="G247" s="88">
        <f>G243*D247</f>
        <v>59.16</v>
      </c>
      <c r="H247" s="88">
        <f>H243*D247</f>
        <v>45.41</v>
      </c>
      <c r="I247" s="88">
        <f>I243*D247</f>
        <v>45.4</v>
      </c>
      <c r="J247" s="88">
        <f>J243*D247</f>
        <v>53.26</v>
      </c>
      <c r="K247" s="88">
        <f>K243*D247</f>
        <v>45.27</v>
      </c>
      <c r="L247" s="88">
        <f>L243*D247</f>
        <v>53.24</v>
      </c>
      <c r="M247" s="88">
        <f>M243*D247</f>
        <v>45.24</v>
      </c>
      <c r="N247" s="29"/>
      <c r="O247" s="29"/>
      <c r="P247" s="49" t="str">
        <f>VLOOKUP(B247,'Форма КП'!$B$25:$G$47,5,FALSE)</f>
        <v>Материал заказчика</v>
      </c>
      <c r="Q247" s="50"/>
      <c r="R247" s="49" t="str">
        <f t="shared" si="98"/>
        <v>Материал заказчика</v>
      </c>
      <c r="S247" s="50"/>
    </row>
    <row r="248" spans="1:19" ht="168" x14ac:dyDescent="0.25">
      <c r="A248" s="115" t="s">
        <v>402</v>
      </c>
      <c r="B248" s="116" t="s">
        <v>251</v>
      </c>
      <c r="C248" s="117" t="s">
        <v>527</v>
      </c>
      <c r="D248" s="118"/>
      <c r="E248" s="115" t="s">
        <v>6</v>
      </c>
      <c r="F248" s="119">
        <f t="shared" si="94"/>
        <v>335.67</v>
      </c>
      <c r="G248" s="105">
        <v>55.77</v>
      </c>
      <c r="H248" s="105">
        <v>44.58</v>
      </c>
      <c r="I248" s="105">
        <v>44.58</v>
      </c>
      <c r="J248" s="105">
        <v>50.74</v>
      </c>
      <c r="K248" s="105">
        <v>44.49</v>
      </c>
      <c r="L248" s="105">
        <v>51.01</v>
      </c>
      <c r="M248" s="105">
        <v>44.5</v>
      </c>
      <c r="N248" s="106">
        <f>VLOOKUP(B248,'Форма КП'!$B$17:$G$23,5,FALSE)</f>
        <v>0</v>
      </c>
      <c r="O248" s="106">
        <f>N248*F248</f>
        <v>0</v>
      </c>
      <c r="P248" s="106"/>
      <c r="Q248" s="106"/>
      <c r="R248" s="106">
        <f>N248</f>
        <v>0</v>
      </c>
      <c r="S248" s="106">
        <f>N248*F248</f>
        <v>0</v>
      </c>
    </row>
    <row r="249" spans="1:19" x14ac:dyDescent="0.25">
      <c r="A249" s="120" t="s">
        <v>403</v>
      </c>
      <c r="B249" s="116" t="s">
        <v>252</v>
      </c>
      <c r="C249" s="121" t="s">
        <v>227</v>
      </c>
      <c r="D249" s="91">
        <v>1.4999999999999999E-2</v>
      </c>
      <c r="E249" s="120" t="s">
        <v>231</v>
      </c>
      <c r="F249" s="123">
        <f t="shared" si="94"/>
        <v>5.05</v>
      </c>
      <c r="G249" s="88">
        <f>G248*D249</f>
        <v>0.84</v>
      </c>
      <c r="H249" s="88">
        <f>H248*D249</f>
        <v>0.67</v>
      </c>
      <c r="I249" s="88">
        <f>I248*D249</f>
        <v>0.67</v>
      </c>
      <c r="J249" s="88">
        <f>J248*D249</f>
        <v>0.76</v>
      </c>
      <c r="K249" s="88">
        <f>K248*D249</f>
        <v>0.67</v>
      </c>
      <c r="L249" s="88">
        <f>L248*D249</f>
        <v>0.77</v>
      </c>
      <c r="M249" s="88">
        <f>M248*D249</f>
        <v>0.67</v>
      </c>
      <c r="N249" s="29"/>
      <c r="O249" s="29"/>
      <c r="P249" s="49" t="str">
        <f>VLOOKUP(B249,'Форма КП'!$B$25:$G$47,5,FALSE)</f>
        <v>Материал заказчика</v>
      </c>
      <c r="Q249" s="50"/>
      <c r="R249" s="49" t="str">
        <f t="shared" ref="R249:R252" si="99">P249</f>
        <v>Материал заказчика</v>
      </c>
      <c r="S249" s="50"/>
    </row>
    <row r="250" spans="1:19" x14ac:dyDescent="0.25">
      <c r="A250" s="120" t="s">
        <v>404</v>
      </c>
      <c r="B250" s="116" t="s">
        <v>229</v>
      </c>
      <c r="C250" s="121" t="s">
        <v>230</v>
      </c>
      <c r="D250" s="91">
        <v>0.8</v>
      </c>
      <c r="E250" s="120" t="s">
        <v>231</v>
      </c>
      <c r="F250" s="123">
        <f t="shared" si="94"/>
        <v>268.52999999999997</v>
      </c>
      <c r="G250" s="88">
        <f>G248*D250</f>
        <v>44.62</v>
      </c>
      <c r="H250" s="88">
        <f>H248*D250</f>
        <v>35.659999999999997</v>
      </c>
      <c r="I250" s="88">
        <f>I248*D250</f>
        <v>35.659999999999997</v>
      </c>
      <c r="J250" s="88">
        <f>J248*D250</f>
        <v>40.590000000000003</v>
      </c>
      <c r="K250" s="88">
        <f>K248*D250</f>
        <v>35.590000000000003</v>
      </c>
      <c r="L250" s="88">
        <f>L248*D250</f>
        <v>40.81</v>
      </c>
      <c r="M250" s="88">
        <f>M248*D250</f>
        <v>35.6</v>
      </c>
      <c r="N250" s="29"/>
      <c r="O250" s="29"/>
      <c r="P250" s="49" t="str">
        <f>VLOOKUP(B250,'Форма КП'!$B$25:$G$47,5,FALSE)</f>
        <v>Материал заказчика</v>
      </c>
      <c r="Q250" s="50"/>
      <c r="R250" s="49" t="str">
        <f t="shared" si="99"/>
        <v>Материал заказчика</v>
      </c>
      <c r="S250" s="50"/>
    </row>
    <row r="251" spans="1:19" x14ac:dyDescent="0.25">
      <c r="A251" s="120" t="s">
        <v>405</v>
      </c>
      <c r="B251" s="116" t="s">
        <v>232</v>
      </c>
      <c r="C251" s="121" t="s">
        <v>233</v>
      </c>
      <c r="D251" s="91">
        <v>0.02</v>
      </c>
      <c r="E251" s="120" t="s">
        <v>231</v>
      </c>
      <c r="F251" s="123">
        <f t="shared" si="94"/>
        <v>6.71</v>
      </c>
      <c r="G251" s="88">
        <f>G248*D251</f>
        <v>1.1200000000000001</v>
      </c>
      <c r="H251" s="88">
        <f>H248*D251</f>
        <v>0.89</v>
      </c>
      <c r="I251" s="88">
        <f>I248*D251</f>
        <v>0.89</v>
      </c>
      <c r="J251" s="88">
        <f>J248*D251</f>
        <v>1.01</v>
      </c>
      <c r="K251" s="88">
        <f>K248*D251</f>
        <v>0.89</v>
      </c>
      <c r="L251" s="88">
        <f>L248*D251</f>
        <v>1.02</v>
      </c>
      <c r="M251" s="88">
        <f>M248*D251</f>
        <v>0.89</v>
      </c>
      <c r="N251" s="29"/>
      <c r="O251" s="29"/>
      <c r="P251" s="49" t="str">
        <f>VLOOKUP(B251,'Форма КП'!$B$25:$G$47,5,FALSE)</f>
        <v>Материал заказчика</v>
      </c>
      <c r="Q251" s="50"/>
      <c r="R251" s="49" t="str">
        <f t="shared" si="99"/>
        <v>Материал заказчика</v>
      </c>
      <c r="S251" s="50"/>
    </row>
    <row r="252" spans="1:19" ht="24" x14ac:dyDescent="0.25">
      <c r="A252" s="120" t="s">
        <v>406</v>
      </c>
      <c r="B252" s="116" t="s">
        <v>253</v>
      </c>
      <c r="C252" s="121" t="s">
        <v>254</v>
      </c>
      <c r="D252" s="91">
        <v>0.11</v>
      </c>
      <c r="E252" s="120" t="s">
        <v>225</v>
      </c>
      <c r="F252" s="123">
        <f t="shared" si="94"/>
        <v>36.909999999999997</v>
      </c>
      <c r="G252" s="88">
        <f>G248*D252</f>
        <v>6.13</v>
      </c>
      <c r="H252" s="88">
        <f>H248*D252</f>
        <v>4.9000000000000004</v>
      </c>
      <c r="I252" s="88">
        <f>I248*D252</f>
        <v>4.9000000000000004</v>
      </c>
      <c r="J252" s="88">
        <f>J248*D252</f>
        <v>5.58</v>
      </c>
      <c r="K252" s="88">
        <f>K248*D252</f>
        <v>4.8899999999999997</v>
      </c>
      <c r="L252" s="88">
        <f>L248*D252</f>
        <v>5.61</v>
      </c>
      <c r="M252" s="88">
        <f>M248*D252</f>
        <v>4.9000000000000004</v>
      </c>
      <c r="N252" s="29"/>
      <c r="O252" s="29"/>
      <c r="P252" s="49" t="str">
        <f>VLOOKUP(B252,'Форма КП'!$B$25:$G$47,5,FALSE)</f>
        <v>Материал заказчика</v>
      </c>
      <c r="Q252" s="50"/>
      <c r="R252" s="49" t="str">
        <f t="shared" si="99"/>
        <v>Материал заказчика</v>
      </c>
      <c r="S252" s="50"/>
    </row>
    <row r="253" spans="1:19" x14ac:dyDescent="0.25">
      <c r="A253" s="114" t="s">
        <v>278</v>
      </c>
      <c r="B253" s="108"/>
      <c r="C253" s="109"/>
      <c r="D253" s="110"/>
      <c r="E253" s="111"/>
      <c r="F253" s="112"/>
      <c r="G253" s="113"/>
      <c r="H253" s="113"/>
      <c r="I253" s="113"/>
      <c r="J253" s="113"/>
      <c r="K253" s="113"/>
      <c r="L253" s="113"/>
      <c r="M253" s="113"/>
      <c r="N253" s="33"/>
      <c r="O253" s="33"/>
      <c r="P253" s="33"/>
      <c r="Q253" s="33"/>
      <c r="R253" s="33"/>
      <c r="S253" s="31"/>
    </row>
    <row r="254" spans="1:19" ht="180" x14ac:dyDescent="0.25">
      <c r="A254" s="115" t="s">
        <v>407</v>
      </c>
      <c r="B254" s="116" t="s">
        <v>259</v>
      </c>
      <c r="C254" s="117" t="s">
        <v>529</v>
      </c>
      <c r="D254" s="118"/>
      <c r="E254" s="115" t="s">
        <v>225</v>
      </c>
      <c r="F254" s="119">
        <f t="shared" ref="F254:F263" si="100">SUM(G254:M254)</f>
        <v>320.44</v>
      </c>
      <c r="G254" s="105">
        <v>45.44</v>
      </c>
      <c r="H254" s="105">
        <v>46.51</v>
      </c>
      <c r="I254" s="105">
        <v>46.51</v>
      </c>
      <c r="J254" s="105">
        <v>47.88</v>
      </c>
      <c r="K254" s="105">
        <v>46.5</v>
      </c>
      <c r="L254" s="105">
        <v>44.6</v>
      </c>
      <c r="M254" s="105">
        <v>43</v>
      </c>
      <c r="N254" s="106">
        <f>VLOOKUP(B254,'Форма КП'!$B$17:$G$23,5,FALSE)</f>
        <v>0</v>
      </c>
      <c r="O254" s="106">
        <f>N254*F254</f>
        <v>0</v>
      </c>
      <c r="P254" s="106"/>
      <c r="Q254" s="106"/>
      <c r="R254" s="106">
        <f>N254</f>
        <v>0</v>
      </c>
      <c r="S254" s="106">
        <f>N254*F254</f>
        <v>0</v>
      </c>
    </row>
    <row r="255" spans="1:19" x14ac:dyDescent="0.25">
      <c r="A255" s="120" t="s">
        <v>408</v>
      </c>
      <c r="B255" s="116" t="s">
        <v>260</v>
      </c>
      <c r="C255" s="121" t="s">
        <v>261</v>
      </c>
      <c r="D255" s="122">
        <v>5</v>
      </c>
      <c r="E255" s="120" t="s">
        <v>231</v>
      </c>
      <c r="F255" s="123">
        <f t="shared" si="100"/>
        <v>1602.2</v>
      </c>
      <c r="G255" s="88">
        <f>G254*D255</f>
        <v>227.2</v>
      </c>
      <c r="H255" s="88">
        <f>H254*D255</f>
        <v>232.55</v>
      </c>
      <c r="I255" s="88">
        <f>I254*D255</f>
        <v>232.55</v>
      </c>
      <c r="J255" s="88">
        <f>J254*D255</f>
        <v>239.4</v>
      </c>
      <c r="K255" s="88">
        <f>K254*D255</f>
        <v>232.5</v>
      </c>
      <c r="L255" s="88">
        <f>L254*D255</f>
        <v>223</v>
      </c>
      <c r="M255" s="88">
        <f>M254*D255</f>
        <v>215</v>
      </c>
      <c r="N255" s="29"/>
      <c r="O255" s="29"/>
      <c r="P255" s="49" t="str">
        <f>VLOOKUP(B255,'Форма КП'!$B$25:$G$47,5,FALSE)</f>
        <v>Материал заказчика</v>
      </c>
      <c r="Q255" s="50"/>
      <c r="R255" s="49" t="str">
        <f t="shared" ref="R255:R256" si="101">P255</f>
        <v>Материал заказчика</v>
      </c>
      <c r="S255" s="50"/>
    </row>
    <row r="256" spans="1:19" x14ac:dyDescent="0.25">
      <c r="A256" s="120" t="s">
        <v>409</v>
      </c>
      <c r="B256" s="116" t="s">
        <v>262</v>
      </c>
      <c r="C256" s="121" t="s">
        <v>263</v>
      </c>
      <c r="D256" s="122" t="s">
        <v>518</v>
      </c>
      <c r="E256" s="120" t="s">
        <v>225</v>
      </c>
      <c r="F256" s="123">
        <f t="shared" si="100"/>
        <v>130.08000000000001</v>
      </c>
      <c r="G256" s="88">
        <f>54.02*0.3*1.15</f>
        <v>18.64</v>
      </c>
      <c r="H256" s="88">
        <f>53.51*0.3*1.15</f>
        <v>18.46</v>
      </c>
      <c r="I256" s="88">
        <f>53.51*0.3*1.15</f>
        <v>18.46</v>
      </c>
      <c r="J256" s="88">
        <f>58*0.3*1.15</f>
        <v>20.010000000000002</v>
      </c>
      <c r="K256" s="88">
        <f>53.51*0.3*1.15</f>
        <v>18.46</v>
      </c>
      <c r="L256" s="88">
        <f>54.3*0.3*1.15</f>
        <v>18.73</v>
      </c>
      <c r="M256" s="88">
        <f>50.2*0.3*1.15</f>
        <v>17.32</v>
      </c>
      <c r="N256" s="29"/>
      <c r="O256" s="29"/>
      <c r="P256" s="49" t="str">
        <f>VLOOKUP(B256,'Форма КП'!$B$25:$G$47,5,FALSE)</f>
        <v>Материал заказчика</v>
      </c>
      <c r="Q256" s="50"/>
      <c r="R256" s="49" t="str">
        <f t="shared" si="101"/>
        <v>Материал заказчика</v>
      </c>
      <c r="S256" s="50"/>
    </row>
    <row r="257" spans="1:19" ht="144" x14ac:dyDescent="0.25">
      <c r="A257" s="115" t="s">
        <v>410</v>
      </c>
      <c r="B257" s="116" t="s">
        <v>280</v>
      </c>
      <c r="C257" s="117" t="s">
        <v>531</v>
      </c>
      <c r="D257" s="118"/>
      <c r="E257" s="115" t="s">
        <v>225</v>
      </c>
      <c r="F257" s="119">
        <f t="shared" si="100"/>
        <v>2074.85</v>
      </c>
      <c r="G257" s="105">
        <v>302.60000000000002</v>
      </c>
      <c r="H257" s="105">
        <v>286.55</v>
      </c>
      <c r="I257" s="105">
        <v>286.55</v>
      </c>
      <c r="J257" s="105">
        <v>315.45999999999998</v>
      </c>
      <c r="K257" s="105">
        <v>286.55</v>
      </c>
      <c r="L257" s="105">
        <v>313.24</v>
      </c>
      <c r="M257" s="105">
        <v>283.89999999999998</v>
      </c>
      <c r="N257" s="106">
        <f>VLOOKUP(B257,'Форма КП'!$B$17:$G$23,5,FALSE)</f>
        <v>0</v>
      </c>
      <c r="O257" s="106">
        <f>N257*F257</f>
        <v>0</v>
      </c>
      <c r="P257" s="106"/>
      <c r="Q257" s="106"/>
      <c r="R257" s="106">
        <f>N257</f>
        <v>0</v>
      </c>
      <c r="S257" s="106">
        <f>N257*F257</f>
        <v>0</v>
      </c>
    </row>
    <row r="258" spans="1:19" x14ac:dyDescent="0.25">
      <c r="A258" s="120" t="s">
        <v>411</v>
      </c>
      <c r="B258" s="116" t="s">
        <v>281</v>
      </c>
      <c r="C258" s="121" t="s">
        <v>282</v>
      </c>
      <c r="D258" s="122">
        <v>1.1499999999999999</v>
      </c>
      <c r="E258" s="120" t="s">
        <v>225</v>
      </c>
      <c r="F258" s="123">
        <f t="shared" si="100"/>
        <v>2386.08</v>
      </c>
      <c r="G258" s="88">
        <f>G257*D258</f>
        <v>347.99</v>
      </c>
      <c r="H258" s="88">
        <f>H257*D258</f>
        <v>329.53</v>
      </c>
      <c r="I258" s="88">
        <f>I257*D258</f>
        <v>329.53</v>
      </c>
      <c r="J258" s="88">
        <f>J257*D258</f>
        <v>362.78</v>
      </c>
      <c r="K258" s="88">
        <f>K257*D258</f>
        <v>329.53</v>
      </c>
      <c r="L258" s="88">
        <f>L257*D258</f>
        <v>360.23</v>
      </c>
      <c r="M258" s="88">
        <f>M257*D258</f>
        <v>326.49</v>
      </c>
      <c r="N258" s="29"/>
      <c r="O258" s="29"/>
      <c r="P258" s="49" t="str">
        <f>VLOOKUP(B258,'Форма КП'!$B$25:$G$47,5,FALSE)</f>
        <v>Материал заказчика</v>
      </c>
      <c r="Q258" s="50"/>
      <c r="R258" s="49" t="str">
        <f t="shared" ref="R258" si="102">P258</f>
        <v>Материал заказчика</v>
      </c>
      <c r="S258" s="50"/>
    </row>
    <row r="259" spans="1:19" ht="168" x14ac:dyDescent="0.25">
      <c r="A259" s="115" t="s">
        <v>412</v>
      </c>
      <c r="B259" s="116" t="s">
        <v>264</v>
      </c>
      <c r="C259" s="117" t="s">
        <v>530</v>
      </c>
      <c r="D259" s="118"/>
      <c r="E259" s="115" t="s">
        <v>225</v>
      </c>
      <c r="F259" s="119">
        <f t="shared" si="100"/>
        <v>2074.85</v>
      </c>
      <c r="G259" s="105">
        <v>302.60000000000002</v>
      </c>
      <c r="H259" s="105">
        <v>286.55</v>
      </c>
      <c r="I259" s="105">
        <v>286.55</v>
      </c>
      <c r="J259" s="105">
        <v>315.45999999999998</v>
      </c>
      <c r="K259" s="105">
        <v>286.55</v>
      </c>
      <c r="L259" s="105">
        <v>313.24</v>
      </c>
      <c r="M259" s="105">
        <v>283.89999999999998</v>
      </c>
      <c r="N259" s="106">
        <f>VLOOKUP(B259,'Форма КП'!$B$17:$G$23,5,FALSE)</f>
        <v>0</v>
      </c>
      <c r="O259" s="106">
        <f>N259*F259</f>
        <v>0</v>
      </c>
      <c r="P259" s="106"/>
      <c r="Q259" s="106"/>
      <c r="R259" s="106">
        <f>N259</f>
        <v>0</v>
      </c>
      <c r="S259" s="106">
        <f>N259*F259</f>
        <v>0</v>
      </c>
    </row>
    <row r="260" spans="1:19" x14ac:dyDescent="0.25">
      <c r="A260" s="120" t="s">
        <v>413</v>
      </c>
      <c r="B260" s="116" t="s">
        <v>265</v>
      </c>
      <c r="C260" s="121" t="s">
        <v>266</v>
      </c>
      <c r="D260" s="91">
        <v>6.1199999999999997E-2</v>
      </c>
      <c r="E260" s="120" t="s">
        <v>267</v>
      </c>
      <c r="F260" s="125">
        <f t="shared" si="100"/>
        <v>126.98099999999999</v>
      </c>
      <c r="G260" s="89">
        <f>G259*D260</f>
        <v>18.518999999999998</v>
      </c>
      <c r="H260" s="89">
        <f>H259*D260</f>
        <v>17.536999999999999</v>
      </c>
      <c r="I260" s="89">
        <f>I259*D260</f>
        <v>17.536999999999999</v>
      </c>
      <c r="J260" s="89">
        <f>J259*D260</f>
        <v>19.306000000000001</v>
      </c>
      <c r="K260" s="89">
        <f>K259*D260</f>
        <v>17.536999999999999</v>
      </c>
      <c r="L260" s="89">
        <f>L259*D260</f>
        <v>19.170000000000002</v>
      </c>
      <c r="M260" s="89">
        <f>M259*D260</f>
        <v>17.375</v>
      </c>
      <c r="N260" s="29"/>
      <c r="O260" s="29"/>
      <c r="P260" s="86">
        <f>VLOOKUP(B260,'Форма КП'!$B$25:$G$47,5,FALSE)</f>
        <v>0</v>
      </c>
      <c r="Q260" s="86">
        <f t="shared" ref="Q260:Q263" si="103">P260*F260</f>
        <v>0</v>
      </c>
      <c r="R260" s="32">
        <f t="shared" ref="R260:R263" si="104">P260</f>
        <v>0</v>
      </c>
      <c r="S260" s="32">
        <f t="shared" ref="S260:S263" si="105">P260*F260</f>
        <v>0</v>
      </c>
    </row>
    <row r="261" spans="1:19" x14ac:dyDescent="0.25">
      <c r="A261" s="120" t="s">
        <v>414</v>
      </c>
      <c r="B261" s="116" t="s">
        <v>268</v>
      </c>
      <c r="C261" s="121" t="s">
        <v>269</v>
      </c>
      <c r="D261" s="91">
        <v>7.3440000000000005E-2</v>
      </c>
      <c r="E261" s="120" t="s">
        <v>231</v>
      </c>
      <c r="F261" s="123">
        <f t="shared" si="100"/>
        <v>152.36000000000001</v>
      </c>
      <c r="G261" s="88">
        <f>G259*D261</f>
        <v>22.22</v>
      </c>
      <c r="H261" s="88">
        <f>H259*D261</f>
        <v>21.04</v>
      </c>
      <c r="I261" s="88">
        <f>I259*D261</f>
        <v>21.04</v>
      </c>
      <c r="J261" s="88">
        <f>J259*D261</f>
        <v>23.17</v>
      </c>
      <c r="K261" s="88">
        <f>K259*D261</f>
        <v>21.04</v>
      </c>
      <c r="L261" s="88">
        <f>L259*D261</f>
        <v>23</v>
      </c>
      <c r="M261" s="88">
        <f>M259*D261</f>
        <v>20.85</v>
      </c>
      <c r="N261" s="29"/>
      <c r="O261" s="29"/>
      <c r="P261" s="86">
        <f>VLOOKUP(B261,'Форма КП'!$B$25:$G$47,5,FALSE)</f>
        <v>0</v>
      </c>
      <c r="Q261" s="86">
        <f t="shared" si="103"/>
        <v>0</v>
      </c>
      <c r="R261" s="32">
        <f t="shared" si="104"/>
        <v>0</v>
      </c>
      <c r="S261" s="32">
        <f t="shared" si="105"/>
        <v>0</v>
      </c>
    </row>
    <row r="262" spans="1:19" ht="36" x14ac:dyDescent="0.25">
      <c r="A262" s="120" t="s">
        <v>415</v>
      </c>
      <c r="B262" s="116" t="s">
        <v>270</v>
      </c>
      <c r="C262" s="121" t="s">
        <v>271</v>
      </c>
      <c r="D262" s="91" t="s">
        <v>518</v>
      </c>
      <c r="E262" s="120" t="s">
        <v>6</v>
      </c>
      <c r="F262" s="123">
        <f t="shared" si="100"/>
        <v>2089.34</v>
      </c>
      <c r="G262" s="88">
        <f>290*1.1</f>
        <v>319</v>
      </c>
      <c r="H262" s="88">
        <f>256.7*1.1</f>
        <v>282.37</v>
      </c>
      <c r="I262" s="88">
        <f>256.7*1.1</f>
        <v>282.37</v>
      </c>
      <c r="J262" s="88">
        <f>293.3*1.1</f>
        <v>322.63</v>
      </c>
      <c r="K262" s="88">
        <f>246.7*1.1</f>
        <v>271.37</v>
      </c>
      <c r="L262" s="88">
        <f>300*1.1</f>
        <v>330</v>
      </c>
      <c r="M262" s="88">
        <f>256*1.1</f>
        <v>281.60000000000002</v>
      </c>
      <c r="N262" s="29"/>
      <c r="O262" s="29"/>
      <c r="P262" s="86">
        <f>VLOOKUP(B262,'Форма КП'!$B$25:$G$47,5,FALSE)</f>
        <v>0</v>
      </c>
      <c r="Q262" s="86">
        <f t="shared" si="103"/>
        <v>0</v>
      </c>
      <c r="R262" s="32">
        <f t="shared" si="104"/>
        <v>0</v>
      </c>
      <c r="S262" s="32">
        <f t="shared" si="105"/>
        <v>0</v>
      </c>
    </row>
    <row r="263" spans="1:19" x14ac:dyDescent="0.25">
      <c r="A263" s="120" t="s">
        <v>416</v>
      </c>
      <c r="B263" s="116" t="s">
        <v>272</v>
      </c>
      <c r="C263" s="121" t="s">
        <v>273</v>
      </c>
      <c r="D263" s="91">
        <v>1.1499999999999999</v>
      </c>
      <c r="E263" s="120" t="s">
        <v>225</v>
      </c>
      <c r="F263" s="123">
        <f t="shared" si="100"/>
        <v>2017.59</v>
      </c>
      <c r="G263" s="88">
        <f>(G259-G254)*D263</f>
        <v>295.73</v>
      </c>
      <c r="H263" s="88">
        <f>(H259-H254)*D263</f>
        <v>276.05</v>
      </c>
      <c r="I263" s="88">
        <f>(I259-I254)*D263</f>
        <v>276.05</v>
      </c>
      <c r="J263" s="88">
        <f>(J259-J254)*D263</f>
        <v>307.72000000000003</v>
      </c>
      <c r="K263" s="88">
        <f>(K259-K254)*D263</f>
        <v>276.06</v>
      </c>
      <c r="L263" s="88">
        <f>(L259-L254)*D263</f>
        <v>308.94</v>
      </c>
      <c r="M263" s="88">
        <f>(M259-M254)*D263</f>
        <v>277.04000000000002</v>
      </c>
      <c r="N263" s="29"/>
      <c r="O263" s="29"/>
      <c r="P263" s="86">
        <f>VLOOKUP(B263,'Форма КП'!$B$25:$G$47,5,FALSE)</f>
        <v>0</v>
      </c>
      <c r="Q263" s="86">
        <f t="shared" si="103"/>
        <v>0</v>
      </c>
      <c r="R263" s="32">
        <f t="shared" si="104"/>
        <v>0</v>
      </c>
      <c r="S263" s="32">
        <f t="shared" si="105"/>
        <v>0</v>
      </c>
    </row>
    <row r="264" spans="1:19" x14ac:dyDescent="0.25">
      <c r="A264" s="107" t="s">
        <v>417</v>
      </c>
      <c r="B264" s="108"/>
      <c r="C264" s="109"/>
      <c r="D264" s="110"/>
      <c r="E264" s="111"/>
      <c r="F264" s="112"/>
      <c r="G264" s="113"/>
      <c r="H264" s="113"/>
      <c r="I264" s="113"/>
      <c r="J264" s="113"/>
      <c r="K264" s="113"/>
      <c r="L264" s="113"/>
      <c r="M264" s="113"/>
      <c r="N264" s="33"/>
      <c r="O264" s="33"/>
      <c r="P264" s="33"/>
      <c r="Q264" s="33"/>
      <c r="R264" s="33"/>
      <c r="S264" s="31"/>
    </row>
    <row r="265" spans="1:19" x14ac:dyDescent="0.25">
      <c r="A265" s="114" t="s">
        <v>223</v>
      </c>
      <c r="B265" s="108"/>
      <c r="C265" s="109"/>
      <c r="D265" s="110"/>
      <c r="E265" s="111"/>
      <c r="F265" s="112"/>
      <c r="G265" s="113"/>
      <c r="H265" s="113"/>
      <c r="I265" s="113"/>
      <c r="J265" s="113"/>
      <c r="K265" s="113"/>
      <c r="L265" s="113"/>
      <c r="M265" s="113"/>
      <c r="N265" s="33"/>
      <c r="O265" s="33"/>
      <c r="P265" s="33"/>
      <c r="Q265" s="33"/>
      <c r="R265" s="33"/>
      <c r="S265" s="31"/>
    </row>
    <row r="266" spans="1:19" ht="168" x14ac:dyDescent="0.25">
      <c r="A266" s="115" t="s">
        <v>418</v>
      </c>
      <c r="B266" s="116" t="s">
        <v>264</v>
      </c>
      <c r="C266" s="117" t="s">
        <v>530</v>
      </c>
      <c r="D266" s="118"/>
      <c r="E266" s="115" t="s">
        <v>225</v>
      </c>
      <c r="F266" s="119">
        <f t="shared" ref="F266:F279" si="106">SUM(G266:M266)</f>
        <v>359.27</v>
      </c>
      <c r="G266" s="105">
        <v>68.44</v>
      </c>
      <c r="H266" s="105">
        <v>43.48</v>
      </c>
      <c r="I266" s="105">
        <v>43.52</v>
      </c>
      <c r="J266" s="105">
        <v>58.02</v>
      </c>
      <c r="K266" s="105">
        <v>43.39</v>
      </c>
      <c r="L266" s="105">
        <v>59.05</v>
      </c>
      <c r="M266" s="105">
        <v>43.37</v>
      </c>
      <c r="N266" s="106">
        <f>VLOOKUP(B266,'Форма КП'!$B$17:$G$23,5,FALSE)</f>
        <v>0</v>
      </c>
      <c r="O266" s="106">
        <f>N266*F266</f>
        <v>0</v>
      </c>
      <c r="P266" s="106"/>
      <c r="Q266" s="106"/>
      <c r="R266" s="106">
        <f>N266</f>
        <v>0</v>
      </c>
      <c r="S266" s="106">
        <f>N266*F266</f>
        <v>0</v>
      </c>
    </row>
    <row r="267" spans="1:19" x14ac:dyDescent="0.25">
      <c r="A267" s="120" t="s">
        <v>419</v>
      </c>
      <c r="B267" s="116" t="s">
        <v>265</v>
      </c>
      <c r="C267" s="121" t="s">
        <v>266</v>
      </c>
      <c r="D267" s="91">
        <v>6.1199999999999997E-2</v>
      </c>
      <c r="E267" s="120" t="s">
        <v>267</v>
      </c>
      <c r="F267" s="125">
        <f t="shared" si="106"/>
        <v>21.986999999999998</v>
      </c>
      <c r="G267" s="89">
        <f>G266*D267</f>
        <v>4.1890000000000001</v>
      </c>
      <c r="H267" s="89">
        <f>H266*D267</f>
        <v>2.661</v>
      </c>
      <c r="I267" s="89">
        <f>I266*D267</f>
        <v>2.6629999999999998</v>
      </c>
      <c r="J267" s="89">
        <f>J266*D267</f>
        <v>3.5510000000000002</v>
      </c>
      <c r="K267" s="89">
        <f>K266*D267</f>
        <v>2.6549999999999998</v>
      </c>
      <c r="L267" s="89">
        <f>L266*D267</f>
        <v>3.6139999999999999</v>
      </c>
      <c r="M267" s="89">
        <f>M266*D267</f>
        <v>2.6539999999999999</v>
      </c>
      <c r="N267" s="29"/>
      <c r="O267" s="29"/>
      <c r="P267" s="86">
        <f>VLOOKUP(B267,'Форма КП'!$B$25:$G$47,5,FALSE)</f>
        <v>0</v>
      </c>
      <c r="Q267" s="86">
        <f t="shared" ref="Q267:Q269" si="107">P267*F267</f>
        <v>0</v>
      </c>
      <c r="R267" s="32">
        <f t="shared" ref="R267:R269" si="108">P267</f>
        <v>0</v>
      </c>
      <c r="S267" s="32">
        <f t="shared" ref="S267:S269" si="109">P267*F267</f>
        <v>0</v>
      </c>
    </row>
    <row r="268" spans="1:19" x14ac:dyDescent="0.25">
      <c r="A268" s="120" t="s">
        <v>420</v>
      </c>
      <c r="B268" s="116" t="s">
        <v>268</v>
      </c>
      <c r="C268" s="121" t="s">
        <v>269</v>
      </c>
      <c r="D268" s="91">
        <v>7.3440000000000005E-2</v>
      </c>
      <c r="E268" s="120" t="s">
        <v>231</v>
      </c>
      <c r="F268" s="123">
        <f t="shared" si="106"/>
        <v>26.4</v>
      </c>
      <c r="G268" s="88">
        <f>G266*D268</f>
        <v>5.03</v>
      </c>
      <c r="H268" s="88">
        <f>H266*D268</f>
        <v>3.19</v>
      </c>
      <c r="I268" s="88">
        <f>I266*D268</f>
        <v>3.2</v>
      </c>
      <c r="J268" s="88">
        <f>J266*D268</f>
        <v>4.26</v>
      </c>
      <c r="K268" s="88">
        <f>K266*D268</f>
        <v>3.19</v>
      </c>
      <c r="L268" s="88">
        <f>L266*D268</f>
        <v>4.34</v>
      </c>
      <c r="M268" s="88">
        <f>M266*D268</f>
        <v>3.19</v>
      </c>
      <c r="N268" s="29"/>
      <c r="O268" s="29"/>
      <c r="P268" s="86">
        <f>VLOOKUP(B268,'Форма КП'!$B$25:$G$47,5,FALSE)</f>
        <v>0</v>
      </c>
      <c r="Q268" s="86">
        <f t="shared" si="107"/>
        <v>0</v>
      </c>
      <c r="R268" s="32">
        <f t="shared" si="108"/>
        <v>0</v>
      </c>
      <c r="S268" s="32">
        <f t="shared" si="109"/>
        <v>0</v>
      </c>
    </row>
    <row r="269" spans="1:19" ht="36" x14ac:dyDescent="0.25">
      <c r="A269" s="120" t="s">
        <v>421</v>
      </c>
      <c r="B269" s="116" t="s">
        <v>270</v>
      </c>
      <c r="C269" s="121" t="s">
        <v>271</v>
      </c>
      <c r="D269" s="91" t="s">
        <v>518</v>
      </c>
      <c r="E269" s="120" t="s">
        <v>6</v>
      </c>
      <c r="F269" s="123">
        <f t="shared" si="106"/>
        <v>486.17</v>
      </c>
      <c r="G269" s="90">
        <f>(95.43-8.39)*1.1</f>
        <v>95.74</v>
      </c>
      <c r="H269" s="90">
        <f>(58.9-7.4)*1.1</f>
        <v>56.65</v>
      </c>
      <c r="I269" s="90">
        <f>(58.98-7.4)*1.1</f>
        <v>56.74</v>
      </c>
      <c r="J269" s="90">
        <f>(81.65-6.4)*1.1</f>
        <v>82.78</v>
      </c>
      <c r="K269" s="90">
        <f>(58.98-7.4)*1.1</f>
        <v>56.74</v>
      </c>
      <c r="L269" s="90">
        <f>(80.84-7.4)*1.1</f>
        <v>80.78</v>
      </c>
      <c r="M269" s="90">
        <f>(58.98-7.4)*1.1</f>
        <v>56.74</v>
      </c>
      <c r="N269" s="29"/>
      <c r="O269" s="29"/>
      <c r="P269" s="86">
        <f>VLOOKUP(B269,'Форма КП'!$B$25:$G$47,5,FALSE)</f>
        <v>0</v>
      </c>
      <c r="Q269" s="86">
        <f t="shared" si="107"/>
        <v>0</v>
      </c>
      <c r="R269" s="32">
        <f t="shared" si="108"/>
        <v>0</v>
      </c>
      <c r="S269" s="32">
        <f t="shared" si="109"/>
        <v>0</v>
      </c>
    </row>
    <row r="270" spans="1:19" ht="156" x14ac:dyDescent="0.25">
      <c r="A270" s="115" t="s">
        <v>422</v>
      </c>
      <c r="B270" s="116" t="s">
        <v>224</v>
      </c>
      <c r="C270" s="117" t="s">
        <v>525</v>
      </c>
      <c r="D270" s="118"/>
      <c r="E270" s="115" t="s">
        <v>225</v>
      </c>
      <c r="F270" s="119">
        <f t="shared" si="106"/>
        <v>330.45</v>
      </c>
      <c r="G270" s="105">
        <v>56.34</v>
      </c>
      <c r="H270" s="105">
        <v>43.25</v>
      </c>
      <c r="I270" s="105">
        <v>43.24</v>
      </c>
      <c r="J270" s="105">
        <v>50.72</v>
      </c>
      <c r="K270" s="105">
        <v>43.11</v>
      </c>
      <c r="L270" s="105">
        <v>50.7</v>
      </c>
      <c r="M270" s="105">
        <v>43.09</v>
      </c>
      <c r="N270" s="106">
        <f>VLOOKUP(B270,'Форма КП'!$B$17:$G$23,5,FALSE)</f>
        <v>0</v>
      </c>
      <c r="O270" s="106">
        <f>N270*F270</f>
        <v>0</v>
      </c>
      <c r="P270" s="106"/>
      <c r="Q270" s="106"/>
      <c r="R270" s="106">
        <f>N270</f>
        <v>0</v>
      </c>
      <c r="S270" s="106">
        <f>N270*F270</f>
        <v>0</v>
      </c>
    </row>
    <row r="271" spans="1:19" x14ac:dyDescent="0.25">
      <c r="A271" s="120" t="s">
        <v>423</v>
      </c>
      <c r="B271" s="116" t="s">
        <v>226</v>
      </c>
      <c r="C271" s="121" t="s">
        <v>227</v>
      </c>
      <c r="D271" s="91">
        <v>0.15</v>
      </c>
      <c r="E271" s="120" t="s">
        <v>228</v>
      </c>
      <c r="F271" s="123">
        <f t="shared" si="106"/>
        <v>49.58</v>
      </c>
      <c r="G271" s="88">
        <f>G270*D271</f>
        <v>8.4499999999999993</v>
      </c>
      <c r="H271" s="88">
        <f>H270*D271</f>
        <v>6.49</v>
      </c>
      <c r="I271" s="88">
        <f>I270*D271</f>
        <v>6.49</v>
      </c>
      <c r="J271" s="88">
        <f>J270*D271</f>
        <v>7.61</v>
      </c>
      <c r="K271" s="88">
        <f>K270*D271</f>
        <v>6.47</v>
      </c>
      <c r="L271" s="88">
        <f>L270*D271</f>
        <v>7.61</v>
      </c>
      <c r="M271" s="88">
        <f>M270*D271</f>
        <v>6.46</v>
      </c>
      <c r="N271" s="29"/>
      <c r="O271" s="29"/>
      <c r="P271" s="49" t="str">
        <f>VLOOKUP(B271,'Форма КП'!$B$25:$G$47,5,FALSE)</f>
        <v>Материал заказчика</v>
      </c>
      <c r="Q271" s="50"/>
      <c r="R271" s="49" t="str">
        <f t="shared" ref="R271:R274" si="110">P271</f>
        <v>Материал заказчика</v>
      </c>
      <c r="S271" s="50"/>
    </row>
    <row r="272" spans="1:19" x14ac:dyDescent="0.25">
      <c r="A272" s="120" t="s">
        <v>424</v>
      </c>
      <c r="B272" s="116" t="s">
        <v>229</v>
      </c>
      <c r="C272" s="121" t="s">
        <v>230</v>
      </c>
      <c r="D272" s="91">
        <v>8</v>
      </c>
      <c r="E272" s="120" t="s">
        <v>231</v>
      </c>
      <c r="F272" s="123">
        <f t="shared" si="106"/>
        <v>2643.6</v>
      </c>
      <c r="G272" s="88">
        <f>G270*D272</f>
        <v>450.72</v>
      </c>
      <c r="H272" s="88">
        <f>H270*D272</f>
        <v>346</v>
      </c>
      <c r="I272" s="88">
        <f>I270*D272</f>
        <v>345.92</v>
      </c>
      <c r="J272" s="88">
        <f>J270*D272</f>
        <v>405.76</v>
      </c>
      <c r="K272" s="88">
        <f>K270*D272</f>
        <v>344.88</v>
      </c>
      <c r="L272" s="88">
        <f>L270*D272</f>
        <v>405.6</v>
      </c>
      <c r="M272" s="88">
        <f>M270*D272</f>
        <v>344.72</v>
      </c>
      <c r="N272" s="29"/>
      <c r="O272" s="29"/>
      <c r="P272" s="49" t="str">
        <f>VLOOKUP(B272,'Форма КП'!$B$25:$G$47,5,FALSE)</f>
        <v>Материал заказчика</v>
      </c>
      <c r="Q272" s="50"/>
      <c r="R272" s="49" t="str">
        <f t="shared" si="110"/>
        <v>Материал заказчика</v>
      </c>
      <c r="S272" s="50"/>
    </row>
    <row r="273" spans="1:19" x14ac:dyDescent="0.25">
      <c r="A273" s="120" t="s">
        <v>425</v>
      </c>
      <c r="B273" s="116" t="s">
        <v>232</v>
      </c>
      <c r="C273" s="121" t="s">
        <v>233</v>
      </c>
      <c r="D273" s="91">
        <v>0.2</v>
      </c>
      <c r="E273" s="120" t="s">
        <v>231</v>
      </c>
      <c r="F273" s="123">
        <f t="shared" si="106"/>
        <v>66.09</v>
      </c>
      <c r="G273" s="88">
        <f>G270*D273</f>
        <v>11.27</v>
      </c>
      <c r="H273" s="88">
        <f>H270*D273</f>
        <v>8.65</v>
      </c>
      <c r="I273" s="88">
        <f>I270*D273</f>
        <v>8.65</v>
      </c>
      <c r="J273" s="88">
        <f>J270*D273</f>
        <v>10.14</v>
      </c>
      <c r="K273" s="88">
        <f>K270*D273</f>
        <v>8.6199999999999992</v>
      </c>
      <c r="L273" s="88">
        <f>L270*D273</f>
        <v>10.14</v>
      </c>
      <c r="M273" s="88">
        <f>M270*D273</f>
        <v>8.6199999999999992</v>
      </c>
      <c r="N273" s="29"/>
      <c r="O273" s="29"/>
      <c r="P273" s="49" t="str">
        <f>VLOOKUP(B273,'Форма КП'!$B$25:$G$47,5,FALSE)</f>
        <v>Материал заказчика</v>
      </c>
      <c r="Q273" s="50"/>
      <c r="R273" s="49" t="str">
        <f t="shared" si="110"/>
        <v>Материал заказчика</v>
      </c>
      <c r="S273" s="50"/>
    </row>
    <row r="274" spans="1:19" x14ac:dyDescent="0.25">
      <c r="A274" s="120" t="s">
        <v>426</v>
      </c>
      <c r="B274" s="116" t="s">
        <v>276</v>
      </c>
      <c r="C274" s="121" t="s">
        <v>277</v>
      </c>
      <c r="D274" s="91">
        <v>1.05</v>
      </c>
      <c r="E274" s="120" t="s">
        <v>225</v>
      </c>
      <c r="F274" s="123">
        <f t="shared" si="106"/>
        <v>346.98</v>
      </c>
      <c r="G274" s="88">
        <f>G270*D274</f>
        <v>59.16</v>
      </c>
      <c r="H274" s="88">
        <f>H270*D274</f>
        <v>45.41</v>
      </c>
      <c r="I274" s="88">
        <f>I270*D274</f>
        <v>45.4</v>
      </c>
      <c r="J274" s="88">
        <f>J270*D274</f>
        <v>53.26</v>
      </c>
      <c r="K274" s="88">
        <f>K270*D274</f>
        <v>45.27</v>
      </c>
      <c r="L274" s="88">
        <f>L270*D274</f>
        <v>53.24</v>
      </c>
      <c r="M274" s="88">
        <f>M270*D274</f>
        <v>45.24</v>
      </c>
      <c r="N274" s="29"/>
      <c r="O274" s="29"/>
      <c r="P274" s="49" t="str">
        <f>VLOOKUP(B274,'Форма КП'!$B$25:$G$47,5,FALSE)</f>
        <v>Материал заказчика</v>
      </c>
      <c r="Q274" s="50"/>
      <c r="R274" s="49" t="str">
        <f t="shared" si="110"/>
        <v>Материал заказчика</v>
      </c>
      <c r="S274" s="50"/>
    </row>
    <row r="275" spans="1:19" ht="168" x14ac:dyDescent="0.25">
      <c r="A275" s="115" t="s">
        <v>427</v>
      </c>
      <c r="B275" s="116" t="s">
        <v>251</v>
      </c>
      <c r="C275" s="117" t="s">
        <v>527</v>
      </c>
      <c r="D275" s="118"/>
      <c r="E275" s="115" t="s">
        <v>6</v>
      </c>
      <c r="F275" s="119">
        <f t="shared" si="106"/>
        <v>335.67</v>
      </c>
      <c r="G275" s="105">
        <v>55.77</v>
      </c>
      <c r="H275" s="105">
        <v>44.58</v>
      </c>
      <c r="I275" s="105">
        <v>44.58</v>
      </c>
      <c r="J275" s="105">
        <v>50.74</v>
      </c>
      <c r="K275" s="105">
        <v>44.49</v>
      </c>
      <c r="L275" s="105">
        <v>51.01</v>
      </c>
      <c r="M275" s="105">
        <v>44.5</v>
      </c>
      <c r="N275" s="106">
        <f>VLOOKUP(B275,'Форма КП'!$B$17:$G$23,5,FALSE)</f>
        <v>0</v>
      </c>
      <c r="O275" s="106">
        <f>N275*F275</f>
        <v>0</v>
      </c>
      <c r="P275" s="106"/>
      <c r="Q275" s="106"/>
      <c r="R275" s="106">
        <f>N275</f>
        <v>0</v>
      </c>
      <c r="S275" s="106">
        <f>N275*F275</f>
        <v>0</v>
      </c>
    </row>
    <row r="276" spans="1:19" x14ac:dyDescent="0.25">
      <c r="A276" s="120" t="s">
        <v>428</v>
      </c>
      <c r="B276" s="116" t="s">
        <v>252</v>
      </c>
      <c r="C276" s="121" t="s">
        <v>227</v>
      </c>
      <c r="D276" s="91">
        <v>1.4999999999999999E-2</v>
      </c>
      <c r="E276" s="120" t="s">
        <v>231</v>
      </c>
      <c r="F276" s="123">
        <f t="shared" si="106"/>
        <v>5.05</v>
      </c>
      <c r="G276" s="88">
        <f>G275*D276</f>
        <v>0.84</v>
      </c>
      <c r="H276" s="88">
        <f>H275*D276</f>
        <v>0.67</v>
      </c>
      <c r="I276" s="88">
        <f>I275*D276</f>
        <v>0.67</v>
      </c>
      <c r="J276" s="88">
        <f>J275*D276</f>
        <v>0.76</v>
      </c>
      <c r="K276" s="88">
        <f>K275*D276</f>
        <v>0.67</v>
      </c>
      <c r="L276" s="88">
        <f>L275*D276</f>
        <v>0.77</v>
      </c>
      <c r="M276" s="88">
        <f>M275*D276</f>
        <v>0.67</v>
      </c>
      <c r="N276" s="29"/>
      <c r="O276" s="29"/>
      <c r="P276" s="49" t="str">
        <f>VLOOKUP(B276,'Форма КП'!$B$25:$G$47,5,FALSE)</f>
        <v>Материал заказчика</v>
      </c>
      <c r="Q276" s="50"/>
      <c r="R276" s="49" t="str">
        <f t="shared" ref="R276:R279" si="111">P276</f>
        <v>Материал заказчика</v>
      </c>
      <c r="S276" s="50"/>
    </row>
    <row r="277" spans="1:19" x14ac:dyDescent="0.25">
      <c r="A277" s="120" t="s">
        <v>429</v>
      </c>
      <c r="B277" s="116" t="s">
        <v>229</v>
      </c>
      <c r="C277" s="121" t="s">
        <v>230</v>
      </c>
      <c r="D277" s="91">
        <v>0.8</v>
      </c>
      <c r="E277" s="120" t="s">
        <v>231</v>
      </c>
      <c r="F277" s="123">
        <f t="shared" si="106"/>
        <v>268.52999999999997</v>
      </c>
      <c r="G277" s="88">
        <f>G275*D277</f>
        <v>44.62</v>
      </c>
      <c r="H277" s="88">
        <f>H275*D277</f>
        <v>35.659999999999997</v>
      </c>
      <c r="I277" s="88">
        <f>I275*D277</f>
        <v>35.659999999999997</v>
      </c>
      <c r="J277" s="88">
        <f>J275*D277</f>
        <v>40.590000000000003</v>
      </c>
      <c r="K277" s="88">
        <f>K275*D277</f>
        <v>35.590000000000003</v>
      </c>
      <c r="L277" s="88">
        <f>L275*D277</f>
        <v>40.81</v>
      </c>
      <c r="M277" s="88">
        <f>M275*D277</f>
        <v>35.6</v>
      </c>
      <c r="N277" s="29"/>
      <c r="O277" s="29"/>
      <c r="P277" s="49" t="str">
        <f>VLOOKUP(B277,'Форма КП'!$B$25:$G$47,5,FALSE)</f>
        <v>Материал заказчика</v>
      </c>
      <c r="Q277" s="50"/>
      <c r="R277" s="49" t="str">
        <f t="shared" si="111"/>
        <v>Материал заказчика</v>
      </c>
      <c r="S277" s="50"/>
    </row>
    <row r="278" spans="1:19" x14ac:dyDescent="0.25">
      <c r="A278" s="120" t="s">
        <v>430</v>
      </c>
      <c r="B278" s="116" t="s">
        <v>232</v>
      </c>
      <c r="C278" s="121" t="s">
        <v>233</v>
      </c>
      <c r="D278" s="91">
        <v>0.02</v>
      </c>
      <c r="E278" s="120" t="s">
        <v>231</v>
      </c>
      <c r="F278" s="123">
        <f t="shared" si="106"/>
        <v>6.71</v>
      </c>
      <c r="G278" s="88">
        <f>G275*D278</f>
        <v>1.1200000000000001</v>
      </c>
      <c r="H278" s="88">
        <f>H275*D278</f>
        <v>0.89</v>
      </c>
      <c r="I278" s="88">
        <f>I275*D278</f>
        <v>0.89</v>
      </c>
      <c r="J278" s="88">
        <f>J275*D278</f>
        <v>1.01</v>
      </c>
      <c r="K278" s="88">
        <f>K275*D278</f>
        <v>0.89</v>
      </c>
      <c r="L278" s="88">
        <f>L275*D278</f>
        <v>1.02</v>
      </c>
      <c r="M278" s="88">
        <f>M275*D278</f>
        <v>0.89</v>
      </c>
      <c r="N278" s="29"/>
      <c r="O278" s="29"/>
      <c r="P278" s="49" t="str">
        <f>VLOOKUP(B278,'Форма КП'!$B$25:$G$47,5,FALSE)</f>
        <v>Материал заказчика</v>
      </c>
      <c r="Q278" s="50"/>
      <c r="R278" s="49" t="str">
        <f t="shared" si="111"/>
        <v>Материал заказчика</v>
      </c>
      <c r="S278" s="50"/>
    </row>
    <row r="279" spans="1:19" ht="24" x14ac:dyDescent="0.25">
      <c r="A279" s="120" t="s">
        <v>431</v>
      </c>
      <c r="B279" s="116" t="s">
        <v>253</v>
      </c>
      <c r="C279" s="121" t="s">
        <v>254</v>
      </c>
      <c r="D279" s="91">
        <v>0.11</v>
      </c>
      <c r="E279" s="120" t="s">
        <v>225</v>
      </c>
      <c r="F279" s="123">
        <f t="shared" si="106"/>
        <v>36.909999999999997</v>
      </c>
      <c r="G279" s="88">
        <f>G275*D279</f>
        <v>6.13</v>
      </c>
      <c r="H279" s="88">
        <f>H275*D279</f>
        <v>4.9000000000000004</v>
      </c>
      <c r="I279" s="88">
        <f>I275*D279</f>
        <v>4.9000000000000004</v>
      </c>
      <c r="J279" s="88">
        <f>J275*D279</f>
        <v>5.58</v>
      </c>
      <c r="K279" s="88">
        <f>K275*D279</f>
        <v>4.8899999999999997</v>
      </c>
      <c r="L279" s="88">
        <f>L275*D279</f>
        <v>5.61</v>
      </c>
      <c r="M279" s="88">
        <f>M275*D279</f>
        <v>4.9000000000000004</v>
      </c>
      <c r="N279" s="29"/>
      <c r="O279" s="29"/>
      <c r="P279" s="49" t="str">
        <f>VLOOKUP(B279,'Форма КП'!$B$25:$G$47,5,FALSE)</f>
        <v>Материал заказчика</v>
      </c>
      <c r="Q279" s="50"/>
      <c r="R279" s="49" t="str">
        <f t="shared" si="111"/>
        <v>Материал заказчика</v>
      </c>
      <c r="S279" s="50"/>
    </row>
    <row r="280" spans="1:19" x14ac:dyDescent="0.25">
      <c r="A280" s="114" t="s">
        <v>278</v>
      </c>
      <c r="B280" s="108"/>
      <c r="C280" s="109"/>
      <c r="D280" s="110"/>
      <c r="E280" s="111"/>
      <c r="F280" s="112"/>
      <c r="G280" s="113"/>
      <c r="H280" s="113"/>
      <c r="I280" s="113"/>
      <c r="J280" s="113"/>
      <c r="K280" s="113"/>
      <c r="L280" s="113"/>
      <c r="M280" s="113"/>
      <c r="N280" s="33"/>
      <c r="O280" s="33"/>
      <c r="P280" s="33"/>
      <c r="Q280" s="33"/>
      <c r="R280" s="33"/>
      <c r="S280" s="31"/>
    </row>
    <row r="281" spans="1:19" ht="180" x14ac:dyDescent="0.25">
      <c r="A281" s="115" t="s">
        <v>432</v>
      </c>
      <c r="B281" s="116" t="s">
        <v>259</v>
      </c>
      <c r="C281" s="117" t="s">
        <v>529</v>
      </c>
      <c r="D281" s="118"/>
      <c r="E281" s="115" t="s">
        <v>225</v>
      </c>
      <c r="F281" s="119">
        <f t="shared" ref="F281:F290" si="112">SUM(G281:M281)</f>
        <v>320.44</v>
      </c>
      <c r="G281" s="105">
        <v>45.44</v>
      </c>
      <c r="H281" s="105">
        <v>46.51</v>
      </c>
      <c r="I281" s="105">
        <v>46.51</v>
      </c>
      <c r="J281" s="105">
        <v>47.88</v>
      </c>
      <c r="K281" s="105">
        <v>46.5</v>
      </c>
      <c r="L281" s="105">
        <v>44.6</v>
      </c>
      <c r="M281" s="105">
        <v>43</v>
      </c>
      <c r="N281" s="106">
        <f>VLOOKUP(B281,'Форма КП'!$B$17:$G$23,5,FALSE)</f>
        <v>0</v>
      </c>
      <c r="O281" s="106">
        <f>N281*F281</f>
        <v>0</v>
      </c>
      <c r="P281" s="106"/>
      <c r="Q281" s="106"/>
      <c r="R281" s="106">
        <f>N281</f>
        <v>0</v>
      </c>
      <c r="S281" s="106">
        <f>N281*F281</f>
        <v>0</v>
      </c>
    </row>
    <row r="282" spans="1:19" x14ac:dyDescent="0.25">
      <c r="A282" s="120" t="s">
        <v>433</v>
      </c>
      <c r="B282" s="116" t="s">
        <v>260</v>
      </c>
      <c r="C282" s="121" t="s">
        <v>261</v>
      </c>
      <c r="D282" s="122">
        <v>5</v>
      </c>
      <c r="E282" s="120" t="s">
        <v>231</v>
      </c>
      <c r="F282" s="123">
        <f t="shared" si="112"/>
        <v>1602.2</v>
      </c>
      <c r="G282" s="88">
        <f>G281*D282</f>
        <v>227.2</v>
      </c>
      <c r="H282" s="88">
        <f>H281*D282</f>
        <v>232.55</v>
      </c>
      <c r="I282" s="88">
        <f>I281*D282</f>
        <v>232.55</v>
      </c>
      <c r="J282" s="88">
        <f>J281*D282</f>
        <v>239.4</v>
      </c>
      <c r="K282" s="88">
        <f>K281*D282</f>
        <v>232.5</v>
      </c>
      <c r="L282" s="88">
        <f>L281*D282</f>
        <v>223</v>
      </c>
      <c r="M282" s="88">
        <f>M281*D282</f>
        <v>215</v>
      </c>
      <c r="N282" s="29"/>
      <c r="O282" s="29"/>
      <c r="P282" s="49" t="str">
        <f>VLOOKUP(B282,'Форма КП'!$B$25:$G$47,5,FALSE)</f>
        <v>Материал заказчика</v>
      </c>
      <c r="Q282" s="50"/>
      <c r="R282" s="49" t="str">
        <f t="shared" ref="R282:R283" si="113">P282</f>
        <v>Материал заказчика</v>
      </c>
      <c r="S282" s="50"/>
    </row>
    <row r="283" spans="1:19" x14ac:dyDescent="0.25">
      <c r="A283" s="120" t="s">
        <v>434</v>
      </c>
      <c r="B283" s="116" t="s">
        <v>262</v>
      </c>
      <c r="C283" s="121" t="s">
        <v>263</v>
      </c>
      <c r="D283" s="122" t="s">
        <v>518</v>
      </c>
      <c r="E283" s="120" t="s">
        <v>225</v>
      </c>
      <c r="F283" s="123">
        <f t="shared" si="112"/>
        <v>130.08000000000001</v>
      </c>
      <c r="G283" s="88">
        <f>54.02*0.3*1.15</f>
        <v>18.64</v>
      </c>
      <c r="H283" s="88">
        <f>53.51*0.3*1.15</f>
        <v>18.46</v>
      </c>
      <c r="I283" s="88">
        <f>53.51*0.3*1.15</f>
        <v>18.46</v>
      </c>
      <c r="J283" s="88">
        <f>58*0.3*1.15</f>
        <v>20.010000000000002</v>
      </c>
      <c r="K283" s="88">
        <f>53.51*0.3*1.15</f>
        <v>18.46</v>
      </c>
      <c r="L283" s="88">
        <f>54.3*0.3*1.15</f>
        <v>18.73</v>
      </c>
      <c r="M283" s="88">
        <f>50.2*0.3*1.15</f>
        <v>17.32</v>
      </c>
      <c r="N283" s="29"/>
      <c r="O283" s="29"/>
      <c r="P283" s="49" t="str">
        <f>VLOOKUP(B283,'Форма КП'!$B$25:$G$47,5,FALSE)</f>
        <v>Материал заказчика</v>
      </c>
      <c r="Q283" s="50"/>
      <c r="R283" s="49" t="str">
        <f t="shared" si="113"/>
        <v>Материал заказчика</v>
      </c>
      <c r="S283" s="50"/>
    </row>
    <row r="284" spans="1:19" ht="144" x14ac:dyDescent="0.25">
      <c r="A284" s="115" t="s">
        <v>435</v>
      </c>
      <c r="B284" s="116" t="s">
        <v>280</v>
      </c>
      <c r="C284" s="117" t="s">
        <v>531</v>
      </c>
      <c r="D284" s="118"/>
      <c r="E284" s="115" t="s">
        <v>225</v>
      </c>
      <c r="F284" s="119">
        <f t="shared" si="112"/>
        <v>2074.85</v>
      </c>
      <c r="G284" s="105">
        <v>302.60000000000002</v>
      </c>
      <c r="H284" s="105">
        <v>286.55</v>
      </c>
      <c r="I284" s="105">
        <v>286.55</v>
      </c>
      <c r="J284" s="105">
        <v>315.45999999999998</v>
      </c>
      <c r="K284" s="105">
        <v>286.55</v>
      </c>
      <c r="L284" s="105">
        <v>313.24</v>
      </c>
      <c r="M284" s="105">
        <v>283.89999999999998</v>
      </c>
      <c r="N284" s="106">
        <f>VLOOKUP(B284,'Форма КП'!$B$17:$G$23,5,FALSE)</f>
        <v>0</v>
      </c>
      <c r="O284" s="106">
        <f>N284*F284</f>
        <v>0</v>
      </c>
      <c r="P284" s="106"/>
      <c r="Q284" s="106"/>
      <c r="R284" s="106">
        <f>N284</f>
        <v>0</v>
      </c>
      <c r="S284" s="106">
        <f>N284*F284</f>
        <v>0</v>
      </c>
    </row>
    <row r="285" spans="1:19" x14ac:dyDescent="0.25">
      <c r="A285" s="120" t="s">
        <v>436</v>
      </c>
      <c r="B285" s="116" t="s">
        <v>281</v>
      </c>
      <c r="C285" s="121" t="s">
        <v>282</v>
      </c>
      <c r="D285" s="122">
        <v>1.1499999999999999</v>
      </c>
      <c r="E285" s="120" t="s">
        <v>225</v>
      </c>
      <c r="F285" s="123">
        <f t="shared" si="112"/>
        <v>2386.08</v>
      </c>
      <c r="G285" s="88">
        <f>G284*D285</f>
        <v>347.99</v>
      </c>
      <c r="H285" s="88">
        <f>H284*D285</f>
        <v>329.53</v>
      </c>
      <c r="I285" s="88">
        <f>I284*D285</f>
        <v>329.53</v>
      </c>
      <c r="J285" s="88">
        <f>J284*D285</f>
        <v>362.78</v>
      </c>
      <c r="K285" s="88">
        <f>K284*D285</f>
        <v>329.53</v>
      </c>
      <c r="L285" s="88">
        <f>L284*D285</f>
        <v>360.23</v>
      </c>
      <c r="M285" s="88">
        <f>M284*D285</f>
        <v>326.49</v>
      </c>
      <c r="N285" s="29"/>
      <c r="O285" s="29"/>
      <c r="P285" s="49" t="str">
        <f>VLOOKUP(B285,'Форма КП'!$B$25:$G$47,5,FALSE)</f>
        <v>Материал заказчика</v>
      </c>
      <c r="Q285" s="50"/>
      <c r="R285" s="49" t="str">
        <f t="shared" ref="R285" si="114">P285</f>
        <v>Материал заказчика</v>
      </c>
      <c r="S285" s="50"/>
    </row>
    <row r="286" spans="1:19" ht="168" x14ac:dyDescent="0.25">
      <c r="A286" s="115" t="s">
        <v>437</v>
      </c>
      <c r="B286" s="116" t="s">
        <v>264</v>
      </c>
      <c r="C286" s="117" t="s">
        <v>530</v>
      </c>
      <c r="D286" s="118"/>
      <c r="E286" s="115" t="s">
        <v>225</v>
      </c>
      <c r="F286" s="119">
        <f t="shared" si="112"/>
        <v>2074.85</v>
      </c>
      <c r="G286" s="105">
        <v>302.60000000000002</v>
      </c>
      <c r="H286" s="105">
        <v>286.55</v>
      </c>
      <c r="I286" s="105">
        <v>286.55</v>
      </c>
      <c r="J286" s="105">
        <v>315.45999999999998</v>
      </c>
      <c r="K286" s="105">
        <v>286.55</v>
      </c>
      <c r="L286" s="105">
        <v>313.24</v>
      </c>
      <c r="M286" s="105">
        <v>283.89999999999998</v>
      </c>
      <c r="N286" s="106">
        <f>VLOOKUP(B286,'Форма КП'!$B$17:$G$23,5,FALSE)</f>
        <v>0</v>
      </c>
      <c r="O286" s="106">
        <f>N286*F286</f>
        <v>0</v>
      </c>
      <c r="P286" s="106"/>
      <c r="Q286" s="106"/>
      <c r="R286" s="106">
        <f>N286</f>
        <v>0</v>
      </c>
      <c r="S286" s="106">
        <f>N286*F286</f>
        <v>0</v>
      </c>
    </row>
    <row r="287" spans="1:19" x14ac:dyDescent="0.25">
      <c r="A287" s="120" t="s">
        <v>438</v>
      </c>
      <c r="B287" s="116" t="s">
        <v>265</v>
      </c>
      <c r="C287" s="121" t="s">
        <v>266</v>
      </c>
      <c r="D287" s="91">
        <v>6.1199999999999997E-2</v>
      </c>
      <c r="E287" s="120" t="s">
        <v>267</v>
      </c>
      <c r="F287" s="125">
        <f t="shared" si="112"/>
        <v>126.98099999999999</v>
      </c>
      <c r="G287" s="89">
        <f>G286*D287</f>
        <v>18.518999999999998</v>
      </c>
      <c r="H287" s="89">
        <f>H286*D287</f>
        <v>17.536999999999999</v>
      </c>
      <c r="I287" s="89">
        <f>I286*D287</f>
        <v>17.536999999999999</v>
      </c>
      <c r="J287" s="89">
        <f>J286*D287</f>
        <v>19.306000000000001</v>
      </c>
      <c r="K287" s="89">
        <f>K286*D287</f>
        <v>17.536999999999999</v>
      </c>
      <c r="L287" s="89">
        <f>L286*D287</f>
        <v>19.170000000000002</v>
      </c>
      <c r="M287" s="89">
        <f>M286*D287</f>
        <v>17.375</v>
      </c>
      <c r="N287" s="29"/>
      <c r="O287" s="29"/>
      <c r="P287" s="86">
        <f>VLOOKUP(B287,'Форма КП'!$B$25:$G$47,5,FALSE)</f>
        <v>0</v>
      </c>
      <c r="Q287" s="86">
        <f t="shared" ref="Q287:Q290" si="115">P287*F287</f>
        <v>0</v>
      </c>
      <c r="R287" s="32">
        <f t="shared" ref="R287:R290" si="116">P287</f>
        <v>0</v>
      </c>
      <c r="S287" s="32">
        <f t="shared" ref="S287:S290" si="117">P287*F287</f>
        <v>0</v>
      </c>
    </row>
    <row r="288" spans="1:19" x14ac:dyDescent="0.25">
      <c r="A288" s="120" t="s">
        <v>439</v>
      </c>
      <c r="B288" s="116" t="s">
        <v>268</v>
      </c>
      <c r="C288" s="121" t="s">
        <v>269</v>
      </c>
      <c r="D288" s="91">
        <v>7.3440000000000005E-2</v>
      </c>
      <c r="E288" s="120" t="s">
        <v>231</v>
      </c>
      <c r="F288" s="123">
        <f t="shared" si="112"/>
        <v>152.36000000000001</v>
      </c>
      <c r="G288" s="88">
        <f>G286*D288</f>
        <v>22.22</v>
      </c>
      <c r="H288" s="88">
        <f>H286*D288</f>
        <v>21.04</v>
      </c>
      <c r="I288" s="88">
        <f>I286*D288</f>
        <v>21.04</v>
      </c>
      <c r="J288" s="88">
        <f>J286*D288</f>
        <v>23.17</v>
      </c>
      <c r="K288" s="88">
        <f>K286*D288</f>
        <v>21.04</v>
      </c>
      <c r="L288" s="88">
        <f>L286*D288</f>
        <v>23</v>
      </c>
      <c r="M288" s="88">
        <f>M286*D288</f>
        <v>20.85</v>
      </c>
      <c r="N288" s="29"/>
      <c r="O288" s="29"/>
      <c r="P288" s="86">
        <f>VLOOKUP(B288,'Форма КП'!$B$25:$G$47,5,FALSE)</f>
        <v>0</v>
      </c>
      <c r="Q288" s="86">
        <f t="shared" si="115"/>
        <v>0</v>
      </c>
      <c r="R288" s="32">
        <f t="shared" si="116"/>
        <v>0</v>
      </c>
      <c r="S288" s="32">
        <f t="shared" si="117"/>
        <v>0</v>
      </c>
    </row>
    <row r="289" spans="1:19" ht="36" x14ac:dyDescent="0.25">
      <c r="A289" s="120" t="s">
        <v>440</v>
      </c>
      <c r="B289" s="116" t="s">
        <v>270</v>
      </c>
      <c r="C289" s="121" t="s">
        <v>271</v>
      </c>
      <c r="D289" s="91" t="s">
        <v>518</v>
      </c>
      <c r="E289" s="120" t="s">
        <v>6</v>
      </c>
      <c r="F289" s="123">
        <f t="shared" si="112"/>
        <v>2089.34</v>
      </c>
      <c r="G289" s="88">
        <f>290*1.1</f>
        <v>319</v>
      </c>
      <c r="H289" s="88">
        <f>256.7*1.1</f>
        <v>282.37</v>
      </c>
      <c r="I289" s="88">
        <f>256.7*1.1</f>
        <v>282.37</v>
      </c>
      <c r="J289" s="88">
        <f>293.3*1.1</f>
        <v>322.63</v>
      </c>
      <c r="K289" s="88">
        <f>246.7*1.1</f>
        <v>271.37</v>
      </c>
      <c r="L289" s="88">
        <f>300*1.1</f>
        <v>330</v>
      </c>
      <c r="M289" s="88">
        <f>256*1.1</f>
        <v>281.60000000000002</v>
      </c>
      <c r="N289" s="29"/>
      <c r="O289" s="29"/>
      <c r="P289" s="86">
        <f>VLOOKUP(B289,'Форма КП'!$B$25:$G$47,5,FALSE)</f>
        <v>0</v>
      </c>
      <c r="Q289" s="86">
        <f t="shared" si="115"/>
        <v>0</v>
      </c>
      <c r="R289" s="32">
        <f t="shared" si="116"/>
        <v>0</v>
      </c>
      <c r="S289" s="32">
        <f t="shared" si="117"/>
        <v>0</v>
      </c>
    </row>
    <row r="290" spans="1:19" x14ac:dyDescent="0.25">
      <c r="A290" s="120" t="s">
        <v>441</v>
      </c>
      <c r="B290" s="116" t="s">
        <v>272</v>
      </c>
      <c r="C290" s="121" t="s">
        <v>273</v>
      </c>
      <c r="D290" s="91">
        <v>1.1499999999999999</v>
      </c>
      <c r="E290" s="120" t="s">
        <v>225</v>
      </c>
      <c r="F290" s="123">
        <f t="shared" si="112"/>
        <v>2017.59</v>
      </c>
      <c r="G290" s="88">
        <f>(G286-G281)*D290</f>
        <v>295.73</v>
      </c>
      <c r="H290" s="88">
        <f>(H286-H281)*D290</f>
        <v>276.05</v>
      </c>
      <c r="I290" s="88">
        <f>(I286-I281)*D290</f>
        <v>276.05</v>
      </c>
      <c r="J290" s="88">
        <f>(J286-J281)*D290</f>
        <v>307.72000000000003</v>
      </c>
      <c r="K290" s="88">
        <f>(K286-K281)*D290</f>
        <v>276.06</v>
      </c>
      <c r="L290" s="88">
        <f>(L286-L281)*D290</f>
        <v>308.94</v>
      </c>
      <c r="M290" s="88">
        <f>(M286-M281)*D290</f>
        <v>277.04000000000002</v>
      </c>
      <c r="N290" s="29"/>
      <c r="O290" s="29"/>
      <c r="P290" s="86">
        <f>VLOOKUP(B290,'Форма КП'!$B$25:$G$47,5,FALSE)</f>
        <v>0</v>
      </c>
      <c r="Q290" s="86">
        <f t="shared" si="115"/>
        <v>0</v>
      </c>
      <c r="R290" s="32">
        <f t="shared" si="116"/>
        <v>0</v>
      </c>
      <c r="S290" s="32">
        <f t="shared" si="117"/>
        <v>0</v>
      </c>
    </row>
    <row r="291" spans="1:19" x14ac:dyDescent="0.25">
      <c r="A291" s="107" t="s">
        <v>442</v>
      </c>
      <c r="B291" s="108"/>
      <c r="C291" s="109"/>
      <c r="D291" s="110"/>
      <c r="E291" s="111"/>
      <c r="F291" s="112"/>
      <c r="G291" s="113"/>
      <c r="H291" s="113"/>
      <c r="I291" s="113"/>
      <c r="J291" s="113"/>
      <c r="K291" s="113"/>
      <c r="L291" s="113"/>
      <c r="M291" s="113"/>
      <c r="N291" s="33"/>
      <c r="O291" s="33"/>
      <c r="P291" s="33"/>
      <c r="Q291" s="33"/>
      <c r="R291" s="33"/>
      <c r="S291" s="31"/>
    </row>
    <row r="292" spans="1:19" x14ac:dyDescent="0.25">
      <c r="A292" s="114" t="s">
        <v>223</v>
      </c>
      <c r="B292" s="108"/>
      <c r="C292" s="109"/>
      <c r="D292" s="110"/>
      <c r="E292" s="111"/>
      <c r="F292" s="112"/>
      <c r="G292" s="113"/>
      <c r="H292" s="113"/>
      <c r="I292" s="113"/>
      <c r="J292" s="113"/>
      <c r="K292" s="113"/>
      <c r="L292" s="113"/>
      <c r="M292" s="113"/>
      <c r="N292" s="33"/>
      <c r="O292" s="33"/>
      <c r="P292" s="33"/>
      <c r="Q292" s="33"/>
      <c r="R292" s="33"/>
      <c r="S292" s="31"/>
    </row>
    <row r="293" spans="1:19" ht="168" x14ac:dyDescent="0.25">
      <c r="A293" s="115" t="s">
        <v>443</v>
      </c>
      <c r="B293" s="116" t="s">
        <v>264</v>
      </c>
      <c r="C293" s="117" t="s">
        <v>530</v>
      </c>
      <c r="D293" s="118"/>
      <c r="E293" s="115" t="s">
        <v>225</v>
      </c>
      <c r="F293" s="119">
        <f t="shared" ref="F293:F306" si="118">SUM(G293:M293)</f>
        <v>359.27</v>
      </c>
      <c r="G293" s="105">
        <v>68.44</v>
      </c>
      <c r="H293" s="105">
        <v>43.48</v>
      </c>
      <c r="I293" s="105">
        <v>43.52</v>
      </c>
      <c r="J293" s="105">
        <v>58.02</v>
      </c>
      <c r="K293" s="105">
        <v>43.39</v>
      </c>
      <c r="L293" s="105">
        <v>59.05</v>
      </c>
      <c r="M293" s="105">
        <v>43.37</v>
      </c>
      <c r="N293" s="106">
        <f>VLOOKUP(B293,'Форма КП'!$B$17:$G$23,5,FALSE)</f>
        <v>0</v>
      </c>
      <c r="O293" s="106">
        <f>N293*F293</f>
        <v>0</v>
      </c>
      <c r="P293" s="106"/>
      <c r="Q293" s="106"/>
      <c r="R293" s="106">
        <f>N293</f>
        <v>0</v>
      </c>
      <c r="S293" s="106">
        <f>N293*F293</f>
        <v>0</v>
      </c>
    </row>
    <row r="294" spans="1:19" x14ac:dyDescent="0.25">
      <c r="A294" s="120" t="s">
        <v>444</v>
      </c>
      <c r="B294" s="116" t="s">
        <v>265</v>
      </c>
      <c r="C294" s="121" t="s">
        <v>266</v>
      </c>
      <c r="D294" s="91">
        <v>6.1199999999999997E-2</v>
      </c>
      <c r="E294" s="120" t="s">
        <v>267</v>
      </c>
      <c r="F294" s="125">
        <f t="shared" si="118"/>
        <v>21.986999999999998</v>
      </c>
      <c r="G294" s="89">
        <f>G293*D294</f>
        <v>4.1890000000000001</v>
      </c>
      <c r="H294" s="89">
        <f>H293*D294</f>
        <v>2.661</v>
      </c>
      <c r="I294" s="89">
        <f>I293*D294</f>
        <v>2.6629999999999998</v>
      </c>
      <c r="J294" s="89">
        <f>J293*D294</f>
        <v>3.5510000000000002</v>
      </c>
      <c r="K294" s="89">
        <f>K293*D294</f>
        <v>2.6549999999999998</v>
      </c>
      <c r="L294" s="89">
        <f>L293*D294</f>
        <v>3.6139999999999999</v>
      </c>
      <c r="M294" s="89">
        <f>M293*D294</f>
        <v>2.6539999999999999</v>
      </c>
      <c r="N294" s="29"/>
      <c r="O294" s="29"/>
      <c r="P294" s="86">
        <f>VLOOKUP(B294,'Форма КП'!$B$25:$G$47,5,FALSE)</f>
        <v>0</v>
      </c>
      <c r="Q294" s="86">
        <f t="shared" ref="Q294:Q296" si="119">P294*F294</f>
        <v>0</v>
      </c>
      <c r="R294" s="32">
        <f t="shared" ref="R294:R296" si="120">P294</f>
        <v>0</v>
      </c>
      <c r="S294" s="32">
        <f t="shared" ref="S294:S296" si="121">P294*F294</f>
        <v>0</v>
      </c>
    </row>
    <row r="295" spans="1:19" x14ac:dyDescent="0.25">
      <c r="A295" s="120" t="s">
        <v>445</v>
      </c>
      <c r="B295" s="116" t="s">
        <v>268</v>
      </c>
      <c r="C295" s="121" t="s">
        <v>269</v>
      </c>
      <c r="D295" s="91">
        <v>7.3440000000000005E-2</v>
      </c>
      <c r="E295" s="120" t="s">
        <v>231</v>
      </c>
      <c r="F295" s="123">
        <f t="shared" si="118"/>
        <v>26.4</v>
      </c>
      <c r="G295" s="88">
        <f>G293*D295</f>
        <v>5.03</v>
      </c>
      <c r="H295" s="88">
        <f>H293*D295</f>
        <v>3.19</v>
      </c>
      <c r="I295" s="88">
        <f>I293*D295</f>
        <v>3.2</v>
      </c>
      <c r="J295" s="88">
        <f>J293*D295</f>
        <v>4.26</v>
      </c>
      <c r="K295" s="88">
        <f>K293*D295</f>
        <v>3.19</v>
      </c>
      <c r="L295" s="88">
        <f>L293*D295</f>
        <v>4.34</v>
      </c>
      <c r="M295" s="88">
        <f>M293*D295</f>
        <v>3.19</v>
      </c>
      <c r="N295" s="29"/>
      <c r="O295" s="29"/>
      <c r="P295" s="86">
        <f>VLOOKUP(B295,'Форма КП'!$B$25:$G$47,5,FALSE)</f>
        <v>0</v>
      </c>
      <c r="Q295" s="86">
        <f t="shared" si="119"/>
        <v>0</v>
      </c>
      <c r="R295" s="32">
        <f t="shared" si="120"/>
        <v>0</v>
      </c>
      <c r="S295" s="32">
        <f t="shared" si="121"/>
        <v>0</v>
      </c>
    </row>
    <row r="296" spans="1:19" ht="36" x14ac:dyDescent="0.25">
      <c r="A296" s="120" t="s">
        <v>446</v>
      </c>
      <c r="B296" s="116" t="s">
        <v>270</v>
      </c>
      <c r="C296" s="121" t="s">
        <v>271</v>
      </c>
      <c r="D296" s="91" t="s">
        <v>518</v>
      </c>
      <c r="E296" s="120" t="s">
        <v>6</v>
      </c>
      <c r="F296" s="123">
        <f t="shared" si="118"/>
        <v>486.17</v>
      </c>
      <c r="G296" s="90">
        <f>(95.43-8.39)*1.1</f>
        <v>95.74</v>
      </c>
      <c r="H296" s="90">
        <f>(58.9-7.4)*1.1</f>
        <v>56.65</v>
      </c>
      <c r="I296" s="90">
        <f>(58.98-7.4)*1.1</f>
        <v>56.74</v>
      </c>
      <c r="J296" s="90">
        <f>(81.65-6.4)*1.1</f>
        <v>82.78</v>
      </c>
      <c r="K296" s="90">
        <f>(58.98-7.4)*1.1</f>
        <v>56.74</v>
      </c>
      <c r="L296" s="90">
        <f>(80.84-7.4)*1.1</f>
        <v>80.78</v>
      </c>
      <c r="M296" s="90">
        <f>(58.98-7.4)*1.1</f>
        <v>56.74</v>
      </c>
      <c r="N296" s="29"/>
      <c r="O296" s="29"/>
      <c r="P296" s="86">
        <f>VLOOKUP(B296,'Форма КП'!$B$25:$G$47,5,FALSE)</f>
        <v>0</v>
      </c>
      <c r="Q296" s="86">
        <f t="shared" si="119"/>
        <v>0</v>
      </c>
      <c r="R296" s="32">
        <f t="shared" si="120"/>
        <v>0</v>
      </c>
      <c r="S296" s="32">
        <f t="shared" si="121"/>
        <v>0</v>
      </c>
    </row>
    <row r="297" spans="1:19" ht="156" x14ac:dyDescent="0.25">
      <c r="A297" s="115" t="s">
        <v>447</v>
      </c>
      <c r="B297" s="116" t="s">
        <v>224</v>
      </c>
      <c r="C297" s="117" t="s">
        <v>525</v>
      </c>
      <c r="D297" s="118"/>
      <c r="E297" s="115" t="s">
        <v>225</v>
      </c>
      <c r="F297" s="119">
        <f t="shared" si="118"/>
        <v>330.45</v>
      </c>
      <c r="G297" s="105">
        <v>56.34</v>
      </c>
      <c r="H297" s="105">
        <v>43.25</v>
      </c>
      <c r="I297" s="105">
        <v>43.24</v>
      </c>
      <c r="J297" s="105">
        <v>50.72</v>
      </c>
      <c r="K297" s="105">
        <v>43.11</v>
      </c>
      <c r="L297" s="105">
        <v>50.7</v>
      </c>
      <c r="M297" s="105">
        <v>43.09</v>
      </c>
      <c r="N297" s="106">
        <f>VLOOKUP(B297,'Форма КП'!$B$17:$G$23,5,FALSE)</f>
        <v>0</v>
      </c>
      <c r="O297" s="106">
        <f>N297*F297</f>
        <v>0</v>
      </c>
      <c r="P297" s="106"/>
      <c r="Q297" s="106"/>
      <c r="R297" s="106">
        <f>N297</f>
        <v>0</v>
      </c>
      <c r="S297" s="106">
        <f>N297*F297</f>
        <v>0</v>
      </c>
    </row>
    <row r="298" spans="1:19" x14ac:dyDescent="0.25">
      <c r="A298" s="120" t="s">
        <v>448</v>
      </c>
      <c r="B298" s="116" t="s">
        <v>226</v>
      </c>
      <c r="C298" s="121" t="s">
        <v>227</v>
      </c>
      <c r="D298" s="91">
        <v>0.15</v>
      </c>
      <c r="E298" s="120" t="s">
        <v>228</v>
      </c>
      <c r="F298" s="123">
        <f t="shared" si="118"/>
        <v>49.58</v>
      </c>
      <c r="G298" s="88">
        <f>G297*D298</f>
        <v>8.4499999999999993</v>
      </c>
      <c r="H298" s="88">
        <f>H297*D298</f>
        <v>6.49</v>
      </c>
      <c r="I298" s="88">
        <f>I297*D298</f>
        <v>6.49</v>
      </c>
      <c r="J298" s="88">
        <f>J297*D298</f>
        <v>7.61</v>
      </c>
      <c r="K298" s="88">
        <f>K297*D298</f>
        <v>6.47</v>
      </c>
      <c r="L298" s="88">
        <f>L297*D298</f>
        <v>7.61</v>
      </c>
      <c r="M298" s="88">
        <f>M297*D298</f>
        <v>6.46</v>
      </c>
      <c r="N298" s="29"/>
      <c r="O298" s="29"/>
      <c r="P298" s="49" t="str">
        <f>VLOOKUP(B298,'Форма КП'!$B$25:$G$47,5,FALSE)</f>
        <v>Материал заказчика</v>
      </c>
      <c r="Q298" s="50"/>
      <c r="R298" s="49" t="str">
        <f t="shared" ref="R298:R301" si="122">P298</f>
        <v>Материал заказчика</v>
      </c>
      <c r="S298" s="50"/>
    </row>
    <row r="299" spans="1:19" x14ac:dyDescent="0.25">
      <c r="A299" s="120" t="s">
        <v>449</v>
      </c>
      <c r="B299" s="116" t="s">
        <v>229</v>
      </c>
      <c r="C299" s="121" t="s">
        <v>230</v>
      </c>
      <c r="D299" s="91">
        <v>8</v>
      </c>
      <c r="E299" s="120" t="s">
        <v>231</v>
      </c>
      <c r="F299" s="123">
        <f t="shared" si="118"/>
        <v>2643.6</v>
      </c>
      <c r="G299" s="88">
        <f>G297*D299</f>
        <v>450.72</v>
      </c>
      <c r="H299" s="88">
        <f>H297*D299</f>
        <v>346</v>
      </c>
      <c r="I299" s="88">
        <f>I297*D299</f>
        <v>345.92</v>
      </c>
      <c r="J299" s="88">
        <f>J297*D299</f>
        <v>405.76</v>
      </c>
      <c r="K299" s="88">
        <f>K297*D299</f>
        <v>344.88</v>
      </c>
      <c r="L299" s="88">
        <f>L297*D299</f>
        <v>405.6</v>
      </c>
      <c r="M299" s="88">
        <f>M297*D299</f>
        <v>344.72</v>
      </c>
      <c r="N299" s="29"/>
      <c r="O299" s="29"/>
      <c r="P299" s="49" t="str">
        <f>VLOOKUP(B299,'Форма КП'!$B$25:$G$47,5,FALSE)</f>
        <v>Материал заказчика</v>
      </c>
      <c r="Q299" s="50"/>
      <c r="R299" s="49" t="str">
        <f t="shared" si="122"/>
        <v>Материал заказчика</v>
      </c>
      <c r="S299" s="50"/>
    </row>
    <row r="300" spans="1:19" x14ac:dyDescent="0.25">
      <c r="A300" s="120" t="s">
        <v>450</v>
      </c>
      <c r="B300" s="116" t="s">
        <v>232</v>
      </c>
      <c r="C300" s="121" t="s">
        <v>233</v>
      </c>
      <c r="D300" s="91">
        <v>0.2</v>
      </c>
      <c r="E300" s="120" t="s">
        <v>231</v>
      </c>
      <c r="F300" s="123">
        <f t="shared" si="118"/>
        <v>66.09</v>
      </c>
      <c r="G300" s="88">
        <f>G297*D300</f>
        <v>11.27</v>
      </c>
      <c r="H300" s="88">
        <f>H297*D300</f>
        <v>8.65</v>
      </c>
      <c r="I300" s="88">
        <f>I297*D300</f>
        <v>8.65</v>
      </c>
      <c r="J300" s="88">
        <f>J297*D300</f>
        <v>10.14</v>
      </c>
      <c r="K300" s="88">
        <f>K297*D300</f>
        <v>8.6199999999999992</v>
      </c>
      <c r="L300" s="88">
        <f>L297*D300</f>
        <v>10.14</v>
      </c>
      <c r="M300" s="88">
        <f>M297*D300</f>
        <v>8.6199999999999992</v>
      </c>
      <c r="N300" s="29"/>
      <c r="O300" s="29"/>
      <c r="P300" s="49" t="str">
        <f>VLOOKUP(B300,'Форма КП'!$B$25:$G$47,5,FALSE)</f>
        <v>Материал заказчика</v>
      </c>
      <c r="Q300" s="50"/>
      <c r="R300" s="49" t="str">
        <f t="shared" si="122"/>
        <v>Материал заказчика</v>
      </c>
      <c r="S300" s="50"/>
    </row>
    <row r="301" spans="1:19" x14ac:dyDescent="0.25">
      <c r="A301" s="120" t="s">
        <v>451</v>
      </c>
      <c r="B301" s="116" t="s">
        <v>276</v>
      </c>
      <c r="C301" s="121" t="s">
        <v>277</v>
      </c>
      <c r="D301" s="91">
        <v>1.05</v>
      </c>
      <c r="E301" s="120" t="s">
        <v>225</v>
      </c>
      <c r="F301" s="123">
        <f t="shared" si="118"/>
        <v>346.98</v>
      </c>
      <c r="G301" s="88">
        <f>G297*D301</f>
        <v>59.16</v>
      </c>
      <c r="H301" s="88">
        <f>H297*D301</f>
        <v>45.41</v>
      </c>
      <c r="I301" s="88">
        <f>I297*D301</f>
        <v>45.4</v>
      </c>
      <c r="J301" s="88">
        <f>J297*D301</f>
        <v>53.26</v>
      </c>
      <c r="K301" s="88">
        <f>K297*D301</f>
        <v>45.27</v>
      </c>
      <c r="L301" s="88">
        <f>L297*D301</f>
        <v>53.24</v>
      </c>
      <c r="M301" s="88">
        <f>M297*D301</f>
        <v>45.24</v>
      </c>
      <c r="N301" s="29"/>
      <c r="O301" s="29"/>
      <c r="P301" s="49" t="str">
        <f>VLOOKUP(B301,'Форма КП'!$B$25:$G$47,5,FALSE)</f>
        <v>Материал заказчика</v>
      </c>
      <c r="Q301" s="50"/>
      <c r="R301" s="49" t="str">
        <f t="shared" si="122"/>
        <v>Материал заказчика</v>
      </c>
      <c r="S301" s="50"/>
    </row>
    <row r="302" spans="1:19" ht="168" x14ac:dyDescent="0.25">
      <c r="A302" s="115" t="s">
        <v>452</v>
      </c>
      <c r="B302" s="116" t="s">
        <v>251</v>
      </c>
      <c r="C302" s="117" t="s">
        <v>527</v>
      </c>
      <c r="D302" s="118"/>
      <c r="E302" s="115" t="s">
        <v>6</v>
      </c>
      <c r="F302" s="119">
        <f t="shared" si="118"/>
        <v>335.67</v>
      </c>
      <c r="G302" s="105">
        <v>55.77</v>
      </c>
      <c r="H302" s="105">
        <v>44.58</v>
      </c>
      <c r="I302" s="105">
        <v>44.58</v>
      </c>
      <c r="J302" s="105">
        <v>50.74</v>
      </c>
      <c r="K302" s="105">
        <v>44.49</v>
      </c>
      <c r="L302" s="105">
        <v>51.01</v>
      </c>
      <c r="M302" s="105">
        <v>44.5</v>
      </c>
      <c r="N302" s="106">
        <f>VLOOKUP(B302,'Форма КП'!$B$17:$G$23,5,FALSE)</f>
        <v>0</v>
      </c>
      <c r="O302" s="106">
        <f>N302*F302</f>
        <v>0</v>
      </c>
      <c r="P302" s="106"/>
      <c r="Q302" s="106"/>
      <c r="R302" s="106">
        <f>N302</f>
        <v>0</v>
      </c>
      <c r="S302" s="106">
        <f>N302*F302</f>
        <v>0</v>
      </c>
    </row>
    <row r="303" spans="1:19" x14ac:dyDescent="0.25">
      <c r="A303" s="120" t="s">
        <v>453</v>
      </c>
      <c r="B303" s="116" t="s">
        <v>252</v>
      </c>
      <c r="C303" s="121" t="s">
        <v>227</v>
      </c>
      <c r="D303" s="91">
        <v>1.4999999999999999E-2</v>
      </c>
      <c r="E303" s="120" t="s">
        <v>231</v>
      </c>
      <c r="F303" s="123">
        <f t="shared" si="118"/>
        <v>5.05</v>
      </c>
      <c r="G303" s="88">
        <f>G302*D303</f>
        <v>0.84</v>
      </c>
      <c r="H303" s="88">
        <f>H302*D303</f>
        <v>0.67</v>
      </c>
      <c r="I303" s="88">
        <f>I302*D303</f>
        <v>0.67</v>
      </c>
      <c r="J303" s="88">
        <f>J302*D303</f>
        <v>0.76</v>
      </c>
      <c r="K303" s="88">
        <f>K302*D303</f>
        <v>0.67</v>
      </c>
      <c r="L303" s="88">
        <f>L302*D303</f>
        <v>0.77</v>
      </c>
      <c r="M303" s="88">
        <f>M302*D303</f>
        <v>0.67</v>
      </c>
      <c r="N303" s="29"/>
      <c r="O303" s="29"/>
      <c r="P303" s="49" t="str">
        <f>VLOOKUP(B303,'Форма КП'!$B$25:$G$47,5,FALSE)</f>
        <v>Материал заказчика</v>
      </c>
      <c r="Q303" s="50"/>
      <c r="R303" s="49" t="str">
        <f t="shared" ref="R303:R306" si="123">P303</f>
        <v>Материал заказчика</v>
      </c>
      <c r="S303" s="50"/>
    </row>
    <row r="304" spans="1:19" x14ac:dyDescent="0.25">
      <c r="A304" s="120" t="s">
        <v>454</v>
      </c>
      <c r="B304" s="116" t="s">
        <v>229</v>
      </c>
      <c r="C304" s="121" t="s">
        <v>230</v>
      </c>
      <c r="D304" s="91">
        <v>0.8</v>
      </c>
      <c r="E304" s="120" t="s">
        <v>231</v>
      </c>
      <c r="F304" s="123">
        <f t="shared" si="118"/>
        <v>268.52999999999997</v>
      </c>
      <c r="G304" s="88">
        <f>G302*D304</f>
        <v>44.62</v>
      </c>
      <c r="H304" s="88">
        <f>H302*D304</f>
        <v>35.659999999999997</v>
      </c>
      <c r="I304" s="88">
        <f>I302*D304</f>
        <v>35.659999999999997</v>
      </c>
      <c r="J304" s="88">
        <f>J302*D304</f>
        <v>40.590000000000003</v>
      </c>
      <c r="K304" s="88">
        <f>K302*D304</f>
        <v>35.590000000000003</v>
      </c>
      <c r="L304" s="88">
        <f>L302*D304</f>
        <v>40.81</v>
      </c>
      <c r="M304" s="88">
        <f>M302*D304</f>
        <v>35.6</v>
      </c>
      <c r="N304" s="29"/>
      <c r="O304" s="29"/>
      <c r="P304" s="49" t="str">
        <f>VLOOKUP(B304,'Форма КП'!$B$25:$G$47,5,FALSE)</f>
        <v>Материал заказчика</v>
      </c>
      <c r="Q304" s="50"/>
      <c r="R304" s="49" t="str">
        <f t="shared" si="123"/>
        <v>Материал заказчика</v>
      </c>
      <c r="S304" s="50"/>
    </row>
    <row r="305" spans="1:19" x14ac:dyDescent="0.25">
      <c r="A305" s="120" t="s">
        <v>455</v>
      </c>
      <c r="B305" s="116" t="s">
        <v>232</v>
      </c>
      <c r="C305" s="121" t="s">
        <v>233</v>
      </c>
      <c r="D305" s="91">
        <v>0.02</v>
      </c>
      <c r="E305" s="120" t="s">
        <v>231</v>
      </c>
      <c r="F305" s="123">
        <f t="shared" si="118"/>
        <v>6.71</v>
      </c>
      <c r="G305" s="88">
        <f>G302*D305</f>
        <v>1.1200000000000001</v>
      </c>
      <c r="H305" s="88">
        <f>H302*D305</f>
        <v>0.89</v>
      </c>
      <c r="I305" s="88">
        <f>I302*D305</f>
        <v>0.89</v>
      </c>
      <c r="J305" s="88">
        <f>J302*D305</f>
        <v>1.01</v>
      </c>
      <c r="K305" s="88">
        <f>K302*D305</f>
        <v>0.89</v>
      </c>
      <c r="L305" s="88">
        <f>L302*D305</f>
        <v>1.02</v>
      </c>
      <c r="M305" s="88">
        <f>M302*D305</f>
        <v>0.89</v>
      </c>
      <c r="N305" s="29"/>
      <c r="O305" s="29"/>
      <c r="P305" s="49" t="str">
        <f>VLOOKUP(B305,'Форма КП'!$B$25:$G$47,5,FALSE)</f>
        <v>Материал заказчика</v>
      </c>
      <c r="Q305" s="50"/>
      <c r="R305" s="49" t="str">
        <f t="shared" si="123"/>
        <v>Материал заказчика</v>
      </c>
      <c r="S305" s="50"/>
    </row>
    <row r="306" spans="1:19" ht="24" x14ac:dyDescent="0.25">
      <c r="A306" s="120" t="s">
        <v>456</v>
      </c>
      <c r="B306" s="116" t="s">
        <v>253</v>
      </c>
      <c r="C306" s="121" t="s">
        <v>254</v>
      </c>
      <c r="D306" s="91">
        <v>0.11</v>
      </c>
      <c r="E306" s="120" t="s">
        <v>225</v>
      </c>
      <c r="F306" s="123">
        <f t="shared" si="118"/>
        <v>36.909999999999997</v>
      </c>
      <c r="G306" s="88">
        <f>G302*D306</f>
        <v>6.13</v>
      </c>
      <c r="H306" s="88">
        <f>H302*D306</f>
        <v>4.9000000000000004</v>
      </c>
      <c r="I306" s="88">
        <f>I302*D306</f>
        <v>4.9000000000000004</v>
      </c>
      <c r="J306" s="88">
        <f>J302*D306</f>
        <v>5.58</v>
      </c>
      <c r="K306" s="88">
        <f>K302*D306</f>
        <v>4.8899999999999997</v>
      </c>
      <c r="L306" s="88">
        <f>L302*D306</f>
        <v>5.61</v>
      </c>
      <c r="M306" s="88">
        <f>M302*D306</f>
        <v>4.9000000000000004</v>
      </c>
      <c r="N306" s="29"/>
      <c r="O306" s="29"/>
      <c r="P306" s="49" t="str">
        <f>VLOOKUP(B306,'Форма КП'!$B$25:$G$47,5,FALSE)</f>
        <v>Материал заказчика</v>
      </c>
      <c r="Q306" s="50"/>
      <c r="R306" s="49" t="str">
        <f t="shared" si="123"/>
        <v>Материал заказчика</v>
      </c>
      <c r="S306" s="50"/>
    </row>
    <row r="307" spans="1:19" x14ac:dyDescent="0.25">
      <c r="A307" s="114" t="s">
        <v>278</v>
      </c>
      <c r="B307" s="108"/>
      <c r="C307" s="109"/>
      <c r="D307" s="110"/>
      <c r="E307" s="111"/>
      <c r="F307" s="112"/>
      <c r="G307" s="113"/>
      <c r="H307" s="113"/>
      <c r="I307" s="113"/>
      <c r="J307" s="113"/>
      <c r="K307" s="113"/>
      <c r="L307" s="113"/>
      <c r="M307" s="113"/>
      <c r="N307" s="33"/>
      <c r="O307" s="33"/>
      <c r="P307" s="33"/>
      <c r="Q307" s="33"/>
      <c r="R307" s="33"/>
      <c r="S307" s="31"/>
    </row>
    <row r="308" spans="1:19" ht="180" x14ac:dyDescent="0.25">
      <c r="A308" s="115" t="s">
        <v>457</v>
      </c>
      <c r="B308" s="116" t="s">
        <v>259</v>
      </c>
      <c r="C308" s="117" t="s">
        <v>529</v>
      </c>
      <c r="D308" s="118"/>
      <c r="E308" s="115" t="s">
        <v>225</v>
      </c>
      <c r="F308" s="119">
        <f t="shared" ref="F308:F317" si="124">SUM(G308:M308)</f>
        <v>320.44</v>
      </c>
      <c r="G308" s="105">
        <v>45.44</v>
      </c>
      <c r="H308" s="105">
        <v>46.51</v>
      </c>
      <c r="I308" s="105">
        <v>46.51</v>
      </c>
      <c r="J308" s="105">
        <v>47.88</v>
      </c>
      <c r="K308" s="105">
        <v>46.5</v>
      </c>
      <c r="L308" s="105">
        <v>44.6</v>
      </c>
      <c r="M308" s="105">
        <v>43</v>
      </c>
      <c r="N308" s="106">
        <f>VLOOKUP(B308,'Форма КП'!$B$17:$G$23,5,FALSE)</f>
        <v>0</v>
      </c>
      <c r="O308" s="106">
        <f>N308*F308</f>
        <v>0</v>
      </c>
      <c r="P308" s="106"/>
      <c r="Q308" s="106"/>
      <c r="R308" s="106">
        <f>N308</f>
        <v>0</v>
      </c>
      <c r="S308" s="106">
        <f>N308*F308</f>
        <v>0</v>
      </c>
    </row>
    <row r="309" spans="1:19" x14ac:dyDescent="0.25">
      <c r="A309" s="120" t="s">
        <v>458</v>
      </c>
      <c r="B309" s="116" t="s">
        <v>260</v>
      </c>
      <c r="C309" s="121" t="s">
        <v>261</v>
      </c>
      <c r="D309" s="122">
        <v>5</v>
      </c>
      <c r="E309" s="120" t="s">
        <v>231</v>
      </c>
      <c r="F309" s="123">
        <f t="shared" si="124"/>
        <v>1602.2</v>
      </c>
      <c r="G309" s="88">
        <f>G308*D309</f>
        <v>227.2</v>
      </c>
      <c r="H309" s="88">
        <f>H308*D309</f>
        <v>232.55</v>
      </c>
      <c r="I309" s="88">
        <f>I308*D309</f>
        <v>232.55</v>
      </c>
      <c r="J309" s="88">
        <f>J308*D309</f>
        <v>239.4</v>
      </c>
      <c r="K309" s="88">
        <f>K308*D309</f>
        <v>232.5</v>
      </c>
      <c r="L309" s="88">
        <f>L308*D309</f>
        <v>223</v>
      </c>
      <c r="M309" s="88">
        <f>M308*D309</f>
        <v>215</v>
      </c>
      <c r="N309" s="29"/>
      <c r="O309" s="29"/>
      <c r="P309" s="49" t="str">
        <f>VLOOKUP(B309,'Форма КП'!$B$25:$G$47,5,FALSE)</f>
        <v>Материал заказчика</v>
      </c>
      <c r="Q309" s="50"/>
      <c r="R309" s="49" t="str">
        <f t="shared" ref="R309:R310" si="125">P309</f>
        <v>Материал заказчика</v>
      </c>
      <c r="S309" s="50"/>
    </row>
    <row r="310" spans="1:19" x14ac:dyDescent="0.25">
      <c r="A310" s="120" t="s">
        <v>459</v>
      </c>
      <c r="B310" s="116" t="s">
        <v>262</v>
      </c>
      <c r="C310" s="121" t="s">
        <v>263</v>
      </c>
      <c r="D310" s="122" t="s">
        <v>518</v>
      </c>
      <c r="E310" s="120" t="s">
        <v>225</v>
      </c>
      <c r="F310" s="123">
        <f t="shared" si="124"/>
        <v>130.08000000000001</v>
      </c>
      <c r="G310" s="88">
        <f>54.02*0.3*1.15</f>
        <v>18.64</v>
      </c>
      <c r="H310" s="88">
        <f>53.51*0.3*1.15</f>
        <v>18.46</v>
      </c>
      <c r="I310" s="88">
        <f>53.51*0.3*1.15</f>
        <v>18.46</v>
      </c>
      <c r="J310" s="88">
        <f>58*0.3*1.15</f>
        <v>20.010000000000002</v>
      </c>
      <c r="K310" s="88">
        <f>53.51*0.3*1.15</f>
        <v>18.46</v>
      </c>
      <c r="L310" s="88">
        <f>54.3*0.3*1.15</f>
        <v>18.73</v>
      </c>
      <c r="M310" s="88">
        <f>50.2*0.3*1.15</f>
        <v>17.32</v>
      </c>
      <c r="N310" s="29"/>
      <c r="O310" s="29"/>
      <c r="P310" s="49" t="str">
        <f>VLOOKUP(B310,'Форма КП'!$B$25:$G$47,5,FALSE)</f>
        <v>Материал заказчика</v>
      </c>
      <c r="Q310" s="50"/>
      <c r="R310" s="49" t="str">
        <f t="shared" si="125"/>
        <v>Материал заказчика</v>
      </c>
      <c r="S310" s="50"/>
    </row>
    <row r="311" spans="1:19" ht="144" x14ac:dyDescent="0.25">
      <c r="A311" s="115" t="s">
        <v>460</v>
      </c>
      <c r="B311" s="116" t="s">
        <v>280</v>
      </c>
      <c r="C311" s="117" t="s">
        <v>531</v>
      </c>
      <c r="D311" s="118"/>
      <c r="E311" s="115" t="s">
        <v>225</v>
      </c>
      <c r="F311" s="119">
        <f t="shared" si="124"/>
        <v>2074.85</v>
      </c>
      <c r="G311" s="105">
        <v>302.60000000000002</v>
      </c>
      <c r="H311" s="105">
        <v>286.55</v>
      </c>
      <c r="I311" s="105">
        <v>286.55</v>
      </c>
      <c r="J311" s="105">
        <v>315.45999999999998</v>
      </c>
      <c r="K311" s="105">
        <v>286.55</v>
      </c>
      <c r="L311" s="105">
        <v>313.24</v>
      </c>
      <c r="M311" s="105">
        <v>283.89999999999998</v>
      </c>
      <c r="N311" s="106">
        <f>VLOOKUP(B311,'Форма КП'!$B$17:$G$23,5,FALSE)</f>
        <v>0</v>
      </c>
      <c r="O311" s="106">
        <f>N311*F311</f>
        <v>0</v>
      </c>
      <c r="P311" s="106"/>
      <c r="Q311" s="106"/>
      <c r="R311" s="106">
        <f>N311</f>
        <v>0</v>
      </c>
      <c r="S311" s="106">
        <f>N311*F311</f>
        <v>0</v>
      </c>
    </row>
    <row r="312" spans="1:19" x14ac:dyDescent="0.25">
      <c r="A312" s="120" t="s">
        <v>461</v>
      </c>
      <c r="B312" s="116" t="s">
        <v>281</v>
      </c>
      <c r="C312" s="121" t="s">
        <v>282</v>
      </c>
      <c r="D312" s="122">
        <v>1.1499999999999999</v>
      </c>
      <c r="E312" s="120" t="s">
        <v>225</v>
      </c>
      <c r="F312" s="123">
        <f t="shared" si="124"/>
        <v>2386.08</v>
      </c>
      <c r="G312" s="88">
        <f>G311*D312</f>
        <v>347.99</v>
      </c>
      <c r="H312" s="88">
        <f>H311*D312</f>
        <v>329.53</v>
      </c>
      <c r="I312" s="88">
        <f>I311*D312</f>
        <v>329.53</v>
      </c>
      <c r="J312" s="88">
        <f>J311*D312</f>
        <v>362.78</v>
      </c>
      <c r="K312" s="88">
        <f>K311*D312</f>
        <v>329.53</v>
      </c>
      <c r="L312" s="88">
        <f>L311*D312</f>
        <v>360.23</v>
      </c>
      <c r="M312" s="88">
        <f>M311*D312</f>
        <v>326.49</v>
      </c>
      <c r="N312" s="29"/>
      <c r="O312" s="29"/>
      <c r="P312" s="49" t="str">
        <f>VLOOKUP(B312,'Форма КП'!$B$25:$G$47,5,FALSE)</f>
        <v>Материал заказчика</v>
      </c>
      <c r="Q312" s="50"/>
      <c r="R312" s="49" t="str">
        <f t="shared" ref="R312" si="126">P312</f>
        <v>Материал заказчика</v>
      </c>
      <c r="S312" s="50"/>
    </row>
    <row r="313" spans="1:19" ht="168" x14ac:dyDescent="0.25">
      <c r="A313" s="115" t="s">
        <v>462</v>
      </c>
      <c r="B313" s="116" t="s">
        <v>264</v>
      </c>
      <c r="C313" s="117" t="s">
        <v>530</v>
      </c>
      <c r="D313" s="118"/>
      <c r="E313" s="115" t="s">
        <v>225</v>
      </c>
      <c r="F313" s="119">
        <f t="shared" si="124"/>
        <v>2074.85</v>
      </c>
      <c r="G313" s="105">
        <v>302.60000000000002</v>
      </c>
      <c r="H313" s="105">
        <v>286.55</v>
      </c>
      <c r="I313" s="105">
        <v>286.55</v>
      </c>
      <c r="J313" s="105">
        <v>315.45999999999998</v>
      </c>
      <c r="K313" s="105">
        <v>286.55</v>
      </c>
      <c r="L313" s="105">
        <v>313.24</v>
      </c>
      <c r="M313" s="105">
        <v>283.89999999999998</v>
      </c>
      <c r="N313" s="106">
        <f>VLOOKUP(B313,'Форма КП'!$B$17:$G$23,5,FALSE)</f>
        <v>0</v>
      </c>
      <c r="O313" s="106">
        <f>N313*F313</f>
        <v>0</v>
      </c>
      <c r="P313" s="106"/>
      <c r="Q313" s="106"/>
      <c r="R313" s="106">
        <f>N313</f>
        <v>0</v>
      </c>
      <c r="S313" s="106">
        <f>N313*F313</f>
        <v>0</v>
      </c>
    </row>
    <row r="314" spans="1:19" x14ac:dyDescent="0.25">
      <c r="A314" s="120" t="s">
        <v>463</v>
      </c>
      <c r="B314" s="116" t="s">
        <v>265</v>
      </c>
      <c r="C314" s="121" t="s">
        <v>266</v>
      </c>
      <c r="D314" s="91">
        <v>6.1199999999999997E-2</v>
      </c>
      <c r="E314" s="120" t="s">
        <v>267</v>
      </c>
      <c r="F314" s="125">
        <f t="shared" si="124"/>
        <v>126.98099999999999</v>
      </c>
      <c r="G314" s="89">
        <f>G313*D314</f>
        <v>18.518999999999998</v>
      </c>
      <c r="H314" s="89">
        <f>H313*D314</f>
        <v>17.536999999999999</v>
      </c>
      <c r="I314" s="89">
        <f>I313*D314</f>
        <v>17.536999999999999</v>
      </c>
      <c r="J314" s="89">
        <f>J313*D314</f>
        <v>19.306000000000001</v>
      </c>
      <c r="K314" s="89">
        <f>K313*D314</f>
        <v>17.536999999999999</v>
      </c>
      <c r="L314" s="89">
        <f>L313*D314</f>
        <v>19.170000000000002</v>
      </c>
      <c r="M314" s="89">
        <f>M313*D314</f>
        <v>17.375</v>
      </c>
      <c r="N314" s="29"/>
      <c r="O314" s="29"/>
      <c r="P314" s="86">
        <f>VLOOKUP(B314,'Форма КП'!$B$25:$G$47,5,FALSE)</f>
        <v>0</v>
      </c>
      <c r="Q314" s="86">
        <f t="shared" ref="Q314:Q317" si="127">P314*F314</f>
        <v>0</v>
      </c>
      <c r="R314" s="32">
        <f t="shared" ref="R314:R317" si="128">P314</f>
        <v>0</v>
      </c>
      <c r="S314" s="32">
        <f t="shared" ref="S314:S317" si="129">P314*F314</f>
        <v>0</v>
      </c>
    </row>
    <row r="315" spans="1:19" x14ac:dyDescent="0.25">
      <c r="A315" s="120" t="s">
        <v>464</v>
      </c>
      <c r="B315" s="116" t="s">
        <v>268</v>
      </c>
      <c r="C315" s="121" t="s">
        <v>269</v>
      </c>
      <c r="D315" s="91">
        <v>7.3440000000000005E-2</v>
      </c>
      <c r="E315" s="120" t="s">
        <v>231</v>
      </c>
      <c r="F315" s="123">
        <f t="shared" si="124"/>
        <v>152.36000000000001</v>
      </c>
      <c r="G315" s="88">
        <f>G313*D315</f>
        <v>22.22</v>
      </c>
      <c r="H315" s="88">
        <f>H313*D315</f>
        <v>21.04</v>
      </c>
      <c r="I315" s="88">
        <f>I313*D315</f>
        <v>21.04</v>
      </c>
      <c r="J315" s="88">
        <f>J313*D315</f>
        <v>23.17</v>
      </c>
      <c r="K315" s="88">
        <f>K313*D315</f>
        <v>21.04</v>
      </c>
      <c r="L315" s="88">
        <f>L313*D315</f>
        <v>23</v>
      </c>
      <c r="M315" s="88">
        <f>M313*D315</f>
        <v>20.85</v>
      </c>
      <c r="N315" s="29"/>
      <c r="O315" s="29"/>
      <c r="P315" s="86">
        <f>VLOOKUP(B315,'Форма КП'!$B$25:$G$47,5,FALSE)</f>
        <v>0</v>
      </c>
      <c r="Q315" s="86">
        <f t="shared" si="127"/>
        <v>0</v>
      </c>
      <c r="R315" s="32">
        <f t="shared" si="128"/>
        <v>0</v>
      </c>
      <c r="S315" s="32">
        <f t="shared" si="129"/>
        <v>0</v>
      </c>
    </row>
    <row r="316" spans="1:19" ht="36" x14ac:dyDescent="0.25">
      <c r="A316" s="120" t="s">
        <v>465</v>
      </c>
      <c r="B316" s="116" t="s">
        <v>270</v>
      </c>
      <c r="C316" s="121" t="s">
        <v>271</v>
      </c>
      <c r="D316" s="91" t="s">
        <v>518</v>
      </c>
      <c r="E316" s="120" t="s">
        <v>6</v>
      </c>
      <c r="F316" s="123">
        <f t="shared" si="124"/>
        <v>2089.34</v>
      </c>
      <c r="G316" s="88">
        <f>290*1.1</f>
        <v>319</v>
      </c>
      <c r="H316" s="88">
        <f>256.7*1.1</f>
        <v>282.37</v>
      </c>
      <c r="I316" s="88">
        <f>256.7*1.1</f>
        <v>282.37</v>
      </c>
      <c r="J316" s="88">
        <f>293.3*1.1</f>
        <v>322.63</v>
      </c>
      <c r="K316" s="88">
        <f>246.7*1.1</f>
        <v>271.37</v>
      </c>
      <c r="L316" s="88">
        <f>300*1.1</f>
        <v>330</v>
      </c>
      <c r="M316" s="88">
        <f>256*1.1</f>
        <v>281.60000000000002</v>
      </c>
      <c r="N316" s="29"/>
      <c r="O316" s="29"/>
      <c r="P316" s="86">
        <f>VLOOKUP(B316,'Форма КП'!$B$25:$G$47,5,FALSE)</f>
        <v>0</v>
      </c>
      <c r="Q316" s="86">
        <f t="shared" si="127"/>
        <v>0</v>
      </c>
      <c r="R316" s="32">
        <f t="shared" si="128"/>
        <v>0</v>
      </c>
      <c r="S316" s="32">
        <f t="shared" si="129"/>
        <v>0</v>
      </c>
    </row>
    <row r="317" spans="1:19" x14ac:dyDescent="0.25">
      <c r="A317" s="120" t="s">
        <v>466</v>
      </c>
      <c r="B317" s="116" t="s">
        <v>272</v>
      </c>
      <c r="C317" s="121" t="s">
        <v>273</v>
      </c>
      <c r="D317" s="91">
        <v>1.1499999999999999</v>
      </c>
      <c r="E317" s="120" t="s">
        <v>225</v>
      </c>
      <c r="F317" s="123">
        <f t="shared" si="124"/>
        <v>2017.59</v>
      </c>
      <c r="G317" s="88">
        <f>(G313-G308)*D317</f>
        <v>295.73</v>
      </c>
      <c r="H317" s="88">
        <f>(H313-H308)*D317</f>
        <v>276.05</v>
      </c>
      <c r="I317" s="88">
        <f>(I313-I308)*D317</f>
        <v>276.05</v>
      </c>
      <c r="J317" s="88">
        <f>(J313-J308)*D317</f>
        <v>307.72000000000003</v>
      </c>
      <c r="K317" s="88">
        <f>(K313-K308)*D317</f>
        <v>276.06</v>
      </c>
      <c r="L317" s="88">
        <f>(L313-L308)*D317</f>
        <v>308.94</v>
      </c>
      <c r="M317" s="88">
        <f>(M313-M308)*D317</f>
        <v>277.04000000000002</v>
      </c>
      <c r="N317" s="29"/>
      <c r="O317" s="29"/>
      <c r="P317" s="86">
        <f>VLOOKUP(B317,'Форма КП'!$B$25:$G$47,5,FALSE)</f>
        <v>0</v>
      </c>
      <c r="Q317" s="86">
        <f t="shared" si="127"/>
        <v>0</v>
      </c>
      <c r="R317" s="32">
        <f t="shared" si="128"/>
        <v>0</v>
      </c>
      <c r="S317" s="32">
        <f t="shared" si="129"/>
        <v>0</v>
      </c>
    </row>
    <row r="318" spans="1:19" x14ac:dyDescent="0.25">
      <c r="A318" s="107" t="s">
        <v>467</v>
      </c>
      <c r="B318" s="108"/>
      <c r="C318" s="109"/>
      <c r="D318" s="110"/>
      <c r="E318" s="111"/>
      <c r="F318" s="112"/>
      <c r="G318" s="113"/>
      <c r="H318" s="113"/>
      <c r="I318" s="113"/>
      <c r="J318" s="113"/>
      <c r="K318" s="113"/>
      <c r="L318" s="113"/>
      <c r="M318" s="113"/>
      <c r="N318" s="33"/>
      <c r="O318" s="33"/>
      <c r="P318" s="33"/>
      <c r="Q318" s="33"/>
      <c r="R318" s="33"/>
      <c r="S318" s="31"/>
    </row>
    <row r="319" spans="1:19" x14ac:dyDescent="0.25">
      <c r="A319" s="114" t="s">
        <v>223</v>
      </c>
      <c r="B319" s="108"/>
      <c r="C319" s="109"/>
      <c r="D319" s="110"/>
      <c r="E319" s="111"/>
      <c r="F319" s="112"/>
      <c r="G319" s="113"/>
      <c r="H319" s="113"/>
      <c r="I319" s="113"/>
      <c r="J319" s="113"/>
      <c r="K319" s="113"/>
      <c r="L319" s="113"/>
      <c r="M319" s="113"/>
      <c r="N319" s="33"/>
      <c r="O319" s="33"/>
      <c r="P319" s="33"/>
      <c r="Q319" s="33"/>
      <c r="R319" s="33"/>
      <c r="S319" s="31"/>
    </row>
    <row r="320" spans="1:19" ht="168" x14ac:dyDescent="0.25">
      <c r="A320" s="115" t="s">
        <v>468</v>
      </c>
      <c r="B320" s="116" t="s">
        <v>264</v>
      </c>
      <c r="C320" s="117" t="s">
        <v>530</v>
      </c>
      <c r="D320" s="118"/>
      <c r="E320" s="115" t="s">
        <v>225</v>
      </c>
      <c r="F320" s="119">
        <f t="shared" ref="F320:F333" si="130">SUM(G320:M320)</f>
        <v>213.46</v>
      </c>
      <c r="G320" s="105">
        <v>68.44</v>
      </c>
      <c r="H320" s="105">
        <v>43.48</v>
      </c>
      <c r="I320" s="105">
        <v>43.52</v>
      </c>
      <c r="J320" s="105">
        <v>58.02</v>
      </c>
      <c r="K320" s="105"/>
      <c r="L320" s="105"/>
      <c r="M320" s="105"/>
      <c r="N320" s="106">
        <f>VLOOKUP(B320,'Форма КП'!$B$17:$G$23,5,FALSE)</f>
        <v>0</v>
      </c>
      <c r="O320" s="106">
        <f>N320*F320</f>
        <v>0</v>
      </c>
      <c r="P320" s="106"/>
      <c r="Q320" s="106"/>
      <c r="R320" s="106">
        <f>N320</f>
        <v>0</v>
      </c>
      <c r="S320" s="106">
        <f>N320*F320</f>
        <v>0</v>
      </c>
    </row>
    <row r="321" spans="1:19" x14ac:dyDescent="0.25">
      <c r="A321" s="120" t="s">
        <v>469</v>
      </c>
      <c r="B321" s="116" t="s">
        <v>265</v>
      </c>
      <c r="C321" s="121" t="s">
        <v>266</v>
      </c>
      <c r="D321" s="91">
        <v>6.1199999999999997E-2</v>
      </c>
      <c r="E321" s="120" t="s">
        <v>267</v>
      </c>
      <c r="F321" s="125">
        <f t="shared" si="130"/>
        <v>13.064</v>
      </c>
      <c r="G321" s="89">
        <f>G320*D321</f>
        <v>4.1890000000000001</v>
      </c>
      <c r="H321" s="89">
        <f>H320*D321</f>
        <v>2.661</v>
      </c>
      <c r="I321" s="89">
        <f>I320*D321</f>
        <v>2.6629999999999998</v>
      </c>
      <c r="J321" s="89">
        <f>J320*D321</f>
        <v>3.5510000000000002</v>
      </c>
      <c r="K321" s="89"/>
      <c r="L321" s="89"/>
      <c r="M321" s="89"/>
      <c r="N321" s="29"/>
      <c r="O321" s="29"/>
      <c r="P321" s="86">
        <f>VLOOKUP(B321,'Форма КП'!$B$25:$G$47,5,FALSE)</f>
        <v>0</v>
      </c>
      <c r="Q321" s="86">
        <f t="shared" ref="Q321:Q323" si="131">P321*F321</f>
        <v>0</v>
      </c>
      <c r="R321" s="32">
        <f t="shared" ref="R321:R323" si="132">P321</f>
        <v>0</v>
      </c>
      <c r="S321" s="32">
        <f t="shared" ref="S321:S323" si="133">P321*F321</f>
        <v>0</v>
      </c>
    </row>
    <row r="322" spans="1:19" x14ac:dyDescent="0.25">
      <c r="A322" s="120" t="s">
        <v>470</v>
      </c>
      <c r="B322" s="116" t="s">
        <v>268</v>
      </c>
      <c r="C322" s="121" t="s">
        <v>269</v>
      </c>
      <c r="D322" s="91">
        <v>7.3440000000000005E-2</v>
      </c>
      <c r="E322" s="120" t="s">
        <v>231</v>
      </c>
      <c r="F322" s="123">
        <f t="shared" si="130"/>
        <v>15.68</v>
      </c>
      <c r="G322" s="88">
        <f>G320*D322</f>
        <v>5.03</v>
      </c>
      <c r="H322" s="88">
        <f>H320*D322</f>
        <v>3.19</v>
      </c>
      <c r="I322" s="88">
        <f>I320*D322</f>
        <v>3.2</v>
      </c>
      <c r="J322" s="88">
        <f>J320*D322</f>
        <v>4.26</v>
      </c>
      <c r="K322" s="88"/>
      <c r="L322" s="88"/>
      <c r="M322" s="88"/>
      <c r="N322" s="29"/>
      <c r="O322" s="29"/>
      <c r="P322" s="86">
        <f>VLOOKUP(B322,'Форма КП'!$B$25:$G$47,5,FALSE)</f>
        <v>0</v>
      </c>
      <c r="Q322" s="86">
        <f t="shared" si="131"/>
        <v>0</v>
      </c>
      <c r="R322" s="32">
        <f t="shared" si="132"/>
        <v>0</v>
      </c>
      <c r="S322" s="32">
        <f t="shared" si="133"/>
        <v>0</v>
      </c>
    </row>
    <row r="323" spans="1:19" ht="36" x14ac:dyDescent="0.25">
      <c r="A323" s="120" t="s">
        <v>471</v>
      </c>
      <c r="B323" s="116" t="s">
        <v>270</v>
      </c>
      <c r="C323" s="121" t="s">
        <v>271</v>
      </c>
      <c r="D323" s="91" t="s">
        <v>518</v>
      </c>
      <c r="E323" s="120" t="s">
        <v>6</v>
      </c>
      <c r="F323" s="123">
        <f t="shared" si="130"/>
        <v>291.91000000000003</v>
      </c>
      <c r="G323" s="90">
        <f>(95.43-8.39)*1.1</f>
        <v>95.74</v>
      </c>
      <c r="H323" s="90">
        <f>(58.9-7.4)*1.1</f>
        <v>56.65</v>
      </c>
      <c r="I323" s="90">
        <f>(58.98-7.4)*1.1</f>
        <v>56.74</v>
      </c>
      <c r="J323" s="90">
        <f>(81.65-6.4)*1.1</f>
        <v>82.78</v>
      </c>
      <c r="K323" s="90"/>
      <c r="L323" s="90"/>
      <c r="M323" s="90"/>
      <c r="N323" s="29"/>
      <c r="O323" s="29"/>
      <c r="P323" s="86">
        <f>VLOOKUP(B323,'Форма КП'!$B$25:$G$47,5,FALSE)</f>
        <v>0</v>
      </c>
      <c r="Q323" s="86">
        <f t="shared" si="131"/>
        <v>0</v>
      </c>
      <c r="R323" s="32">
        <f t="shared" si="132"/>
        <v>0</v>
      </c>
      <c r="S323" s="32">
        <f t="shared" si="133"/>
        <v>0</v>
      </c>
    </row>
    <row r="324" spans="1:19" ht="156" x14ac:dyDescent="0.25">
      <c r="A324" s="115" t="s">
        <v>472</v>
      </c>
      <c r="B324" s="116" t="s">
        <v>224</v>
      </c>
      <c r="C324" s="117" t="s">
        <v>525</v>
      </c>
      <c r="D324" s="118"/>
      <c r="E324" s="115" t="s">
        <v>225</v>
      </c>
      <c r="F324" s="119">
        <f t="shared" si="130"/>
        <v>193.55</v>
      </c>
      <c r="G324" s="105">
        <v>56.34</v>
      </c>
      <c r="H324" s="105">
        <v>43.25</v>
      </c>
      <c r="I324" s="105">
        <v>43.24</v>
      </c>
      <c r="J324" s="105">
        <v>50.72</v>
      </c>
      <c r="K324" s="105"/>
      <c r="L324" s="105"/>
      <c r="M324" s="105"/>
      <c r="N324" s="106">
        <f>VLOOKUP(B324,'Форма КП'!$B$17:$G$23,5,FALSE)</f>
        <v>0</v>
      </c>
      <c r="O324" s="106">
        <f>N324*F324</f>
        <v>0</v>
      </c>
      <c r="P324" s="106"/>
      <c r="Q324" s="106"/>
      <c r="R324" s="106">
        <f>N324</f>
        <v>0</v>
      </c>
      <c r="S324" s="106">
        <f>N324*F324</f>
        <v>0</v>
      </c>
    </row>
    <row r="325" spans="1:19" x14ac:dyDescent="0.25">
      <c r="A325" s="120" t="s">
        <v>473</v>
      </c>
      <c r="B325" s="116" t="s">
        <v>226</v>
      </c>
      <c r="C325" s="121" t="s">
        <v>227</v>
      </c>
      <c r="D325" s="91">
        <v>0.15</v>
      </c>
      <c r="E325" s="120" t="s">
        <v>228</v>
      </c>
      <c r="F325" s="123">
        <f t="shared" si="130"/>
        <v>29.04</v>
      </c>
      <c r="G325" s="88">
        <f>G324*D325</f>
        <v>8.4499999999999993</v>
      </c>
      <c r="H325" s="88">
        <f>H324*D325</f>
        <v>6.49</v>
      </c>
      <c r="I325" s="88">
        <f>I324*D325</f>
        <v>6.49</v>
      </c>
      <c r="J325" s="88">
        <f>J324*D325</f>
        <v>7.61</v>
      </c>
      <c r="K325" s="88"/>
      <c r="L325" s="88"/>
      <c r="M325" s="88"/>
      <c r="N325" s="29"/>
      <c r="O325" s="29"/>
      <c r="P325" s="49" t="str">
        <f>VLOOKUP(B325,'Форма КП'!$B$25:$G$47,5,FALSE)</f>
        <v>Материал заказчика</v>
      </c>
      <c r="Q325" s="50"/>
      <c r="R325" s="49" t="str">
        <f t="shared" ref="R325:R328" si="134">P325</f>
        <v>Материал заказчика</v>
      </c>
      <c r="S325" s="50"/>
    </row>
    <row r="326" spans="1:19" x14ac:dyDescent="0.25">
      <c r="A326" s="120" t="s">
        <v>474</v>
      </c>
      <c r="B326" s="116" t="s">
        <v>229</v>
      </c>
      <c r="C326" s="121" t="s">
        <v>230</v>
      </c>
      <c r="D326" s="91">
        <v>8</v>
      </c>
      <c r="E326" s="120" t="s">
        <v>231</v>
      </c>
      <c r="F326" s="123">
        <f t="shared" si="130"/>
        <v>1548.4</v>
      </c>
      <c r="G326" s="88">
        <f>G324*D326</f>
        <v>450.72</v>
      </c>
      <c r="H326" s="88">
        <f>H324*D326</f>
        <v>346</v>
      </c>
      <c r="I326" s="88">
        <f>I324*D326</f>
        <v>345.92</v>
      </c>
      <c r="J326" s="88">
        <f>J324*D326</f>
        <v>405.76</v>
      </c>
      <c r="K326" s="88"/>
      <c r="L326" s="88"/>
      <c r="M326" s="88"/>
      <c r="N326" s="29"/>
      <c r="O326" s="29"/>
      <c r="P326" s="49" t="str">
        <f>VLOOKUP(B326,'Форма КП'!$B$25:$G$47,5,FALSE)</f>
        <v>Материал заказчика</v>
      </c>
      <c r="Q326" s="50"/>
      <c r="R326" s="49" t="str">
        <f t="shared" si="134"/>
        <v>Материал заказчика</v>
      </c>
      <c r="S326" s="50"/>
    </row>
    <row r="327" spans="1:19" x14ac:dyDescent="0.25">
      <c r="A327" s="120" t="s">
        <v>475</v>
      </c>
      <c r="B327" s="116" t="s">
        <v>232</v>
      </c>
      <c r="C327" s="121" t="s">
        <v>233</v>
      </c>
      <c r="D327" s="91">
        <v>0.2</v>
      </c>
      <c r="E327" s="120" t="s">
        <v>231</v>
      </c>
      <c r="F327" s="123">
        <f t="shared" si="130"/>
        <v>38.71</v>
      </c>
      <c r="G327" s="88">
        <f>G324*D327</f>
        <v>11.27</v>
      </c>
      <c r="H327" s="88">
        <f>H324*D327</f>
        <v>8.65</v>
      </c>
      <c r="I327" s="88">
        <f>I324*D327</f>
        <v>8.65</v>
      </c>
      <c r="J327" s="88">
        <f>J324*D327</f>
        <v>10.14</v>
      </c>
      <c r="K327" s="88"/>
      <c r="L327" s="88"/>
      <c r="M327" s="88"/>
      <c r="N327" s="29"/>
      <c r="O327" s="29"/>
      <c r="P327" s="49" t="str">
        <f>VLOOKUP(B327,'Форма КП'!$B$25:$G$47,5,FALSE)</f>
        <v>Материал заказчика</v>
      </c>
      <c r="Q327" s="50"/>
      <c r="R327" s="49" t="str">
        <f t="shared" si="134"/>
        <v>Материал заказчика</v>
      </c>
      <c r="S327" s="50"/>
    </row>
    <row r="328" spans="1:19" x14ac:dyDescent="0.25">
      <c r="A328" s="120" t="s">
        <v>476</v>
      </c>
      <c r="B328" s="116" t="s">
        <v>276</v>
      </c>
      <c r="C328" s="121" t="s">
        <v>277</v>
      </c>
      <c r="D328" s="91">
        <v>1.05</v>
      </c>
      <c r="E328" s="120" t="s">
        <v>225</v>
      </c>
      <c r="F328" s="123">
        <f t="shared" si="130"/>
        <v>203.23</v>
      </c>
      <c r="G328" s="88">
        <f>G324*D328</f>
        <v>59.16</v>
      </c>
      <c r="H328" s="88">
        <f>H324*D328</f>
        <v>45.41</v>
      </c>
      <c r="I328" s="88">
        <f>I324*D328</f>
        <v>45.4</v>
      </c>
      <c r="J328" s="88">
        <f>J324*D328</f>
        <v>53.26</v>
      </c>
      <c r="K328" s="88"/>
      <c r="L328" s="88"/>
      <c r="M328" s="88"/>
      <c r="N328" s="29"/>
      <c r="O328" s="29"/>
      <c r="P328" s="49" t="str">
        <f>VLOOKUP(B328,'Форма КП'!$B$25:$G$47,5,FALSE)</f>
        <v>Материал заказчика</v>
      </c>
      <c r="Q328" s="50"/>
      <c r="R328" s="49" t="str">
        <f t="shared" si="134"/>
        <v>Материал заказчика</v>
      </c>
      <c r="S328" s="50"/>
    </row>
    <row r="329" spans="1:19" ht="168" x14ac:dyDescent="0.25">
      <c r="A329" s="115" t="s">
        <v>477</v>
      </c>
      <c r="B329" s="116" t="s">
        <v>251</v>
      </c>
      <c r="C329" s="117" t="s">
        <v>527</v>
      </c>
      <c r="D329" s="118"/>
      <c r="E329" s="115" t="s">
        <v>6</v>
      </c>
      <c r="F329" s="119">
        <f t="shared" si="130"/>
        <v>195.67</v>
      </c>
      <c r="G329" s="105">
        <v>55.77</v>
      </c>
      <c r="H329" s="105">
        <v>44.58</v>
      </c>
      <c r="I329" s="105">
        <v>44.58</v>
      </c>
      <c r="J329" s="105">
        <v>50.74</v>
      </c>
      <c r="K329" s="105"/>
      <c r="L329" s="105"/>
      <c r="M329" s="105"/>
      <c r="N329" s="106">
        <f>VLOOKUP(B329,'Форма КП'!$B$17:$G$23,5,FALSE)</f>
        <v>0</v>
      </c>
      <c r="O329" s="106">
        <f>N329*F329</f>
        <v>0</v>
      </c>
      <c r="P329" s="106"/>
      <c r="Q329" s="106"/>
      <c r="R329" s="106">
        <f>N329</f>
        <v>0</v>
      </c>
      <c r="S329" s="106">
        <f>N329*F329</f>
        <v>0</v>
      </c>
    </row>
    <row r="330" spans="1:19" x14ac:dyDescent="0.25">
      <c r="A330" s="120" t="s">
        <v>478</v>
      </c>
      <c r="B330" s="116" t="s">
        <v>252</v>
      </c>
      <c r="C330" s="121" t="s">
        <v>227</v>
      </c>
      <c r="D330" s="91">
        <v>1.4999999999999999E-2</v>
      </c>
      <c r="E330" s="120" t="s">
        <v>231</v>
      </c>
      <c r="F330" s="123">
        <f t="shared" si="130"/>
        <v>2.94</v>
      </c>
      <c r="G330" s="88">
        <f>G329*D330</f>
        <v>0.84</v>
      </c>
      <c r="H330" s="88">
        <f>H329*D330</f>
        <v>0.67</v>
      </c>
      <c r="I330" s="88">
        <f>I329*D330</f>
        <v>0.67</v>
      </c>
      <c r="J330" s="88">
        <f>J329*D330</f>
        <v>0.76</v>
      </c>
      <c r="K330" s="88"/>
      <c r="L330" s="88"/>
      <c r="M330" s="88"/>
      <c r="N330" s="29"/>
      <c r="O330" s="29"/>
      <c r="P330" s="49" t="str">
        <f>VLOOKUP(B330,'Форма КП'!$B$25:$G$47,5,FALSE)</f>
        <v>Материал заказчика</v>
      </c>
      <c r="Q330" s="50"/>
      <c r="R330" s="49" t="str">
        <f t="shared" ref="R330:R333" si="135">P330</f>
        <v>Материал заказчика</v>
      </c>
      <c r="S330" s="50"/>
    </row>
    <row r="331" spans="1:19" x14ac:dyDescent="0.25">
      <c r="A331" s="120" t="s">
        <v>479</v>
      </c>
      <c r="B331" s="116" t="s">
        <v>229</v>
      </c>
      <c r="C331" s="121" t="s">
        <v>230</v>
      </c>
      <c r="D331" s="91">
        <v>0.8</v>
      </c>
      <c r="E331" s="120" t="s">
        <v>231</v>
      </c>
      <c r="F331" s="123">
        <f t="shared" si="130"/>
        <v>156.53</v>
      </c>
      <c r="G331" s="88">
        <f>G329*D331</f>
        <v>44.62</v>
      </c>
      <c r="H331" s="88">
        <f>H329*D331</f>
        <v>35.659999999999997</v>
      </c>
      <c r="I331" s="88">
        <f>I329*D331</f>
        <v>35.659999999999997</v>
      </c>
      <c r="J331" s="88">
        <f>J329*D331</f>
        <v>40.590000000000003</v>
      </c>
      <c r="K331" s="88"/>
      <c r="L331" s="88"/>
      <c r="M331" s="88"/>
      <c r="N331" s="29"/>
      <c r="O331" s="29"/>
      <c r="P331" s="49" t="str">
        <f>VLOOKUP(B331,'Форма КП'!$B$25:$G$47,5,FALSE)</f>
        <v>Материал заказчика</v>
      </c>
      <c r="Q331" s="50"/>
      <c r="R331" s="49" t="str">
        <f t="shared" si="135"/>
        <v>Материал заказчика</v>
      </c>
      <c r="S331" s="50"/>
    </row>
    <row r="332" spans="1:19" x14ac:dyDescent="0.25">
      <c r="A332" s="120" t="s">
        <v>480</v>
      </c>
      <c r="B332" s="116" t="s">
        <v>232</v>
      </c>
      <c r="C332" s="121" t="s">
        <v>233</v>
      </c>
      <c r="D332" s="91">
        <v>0.02</v>
      </c>
      <c r="E332" s="120" t="s">
        <v>231</v>
      </c>
      <c r="F332" s="123">
        <f t="shared" si="130"/>
        <v>3.91</v>
      </c>
      <c r="G332" s="88">
        <f>G329*D332</f>
        <v>1.1200000000000001</v>
      </c>
      <c r="H332" s="88">
        <f>H329*D332</f>
        <v>0.89</v>
      </c>
      <c r="I332" s="88">
        <f>I329*D332</f>
        <v>0.89</v>
      </c>
      <c r="J332" s="88">
        <f>J329*D332</f>
        <v>1.01</v>
      </c>
      <c r="K332" s="88"/>
      <c r="L332" s="88"/>
      <c r="M332" s="88"/>
      <c r="N332" s="29"/>
      <c r="O332" s="29"/>
      <c r="P332" s="49" t="str">
        <f>VLOOKUP(B332,'Форма КП'!$B$25:$G$47,5,FALSE)</f>
        <v>Материал заказчика</v>
      </c>
      <c r="Q332" s="50"/>
      <c r="R332" s="49" t="str">
        <f t="shared" si="135"/>
        <v>Материал заказчика</v>
      </c>
      <c r="S332" s="50"/>
    </row>
    <row r="333" spans="1:19" ht="24" x14ac:dyDescent="0.25">
      <c r="A333" s="120" t="s">
        <v>481</v>
      </c>
      <c r="B333" s="116" t="s">
        <v>253</v>
      </c>
      <c r="C333" s="121" t="s">
        <v>254</v>
      </c>
      <c r="D333" s="91">
        <v>0.11</v>
      </c>
      <c r="E333" s="120" t="s">
        <v>225</v>
      </c>
      <c r="F333" s="123">
        <f t="shared" si="130"/>
        <v>21.51</v>
      </c>
      <c r="G333" s="88">
        <f>G329*D333</f>
        <v>6.13</v>
      </c>
      <c r="H333" s="88">
        <f>H329*D333</f>
        <v>4.9000000000000004</v>
      </c>
      <c r="I333" s="88">
        <f>I329*D333</f>
        <v>4.9000000000000004</v>
      </c>
      <c r="J333" s="88">
        <f>J329*D333</f>
        <v>5.58</v>
      </c>
      <c r="K333" s="88"/>
      <c r="L333" s="88"/>
      <c r="M333" s="88"/>
      <c r="N333" s="29"/>
      <c r="O333" s="29"/>
      <c r="P333" s="49" t="str">
        <f>VLOOKUP(B333,'Форма КП'!$B$25:$G$47,5,FALSE)</f>
        <v>Материал заказчика</v>
      </c>
      <c r="Q333" s="50"/>
      <c r="R333" s="49" t="str">
        <f t="shared" si="135"/>
        <v>Материал заказчика</v>
      </c>
      <c r="S333" s="50"/>
    </row>
    <row r="334" spans="1:19" x14ac:dyDescent="0.25">
      <c r="A334" s="114" t="s">
        <v>278</v>
      </c>
      <c r="B334" s="108"/>
      <c r="C334" s="109"/>
      <c r="D334" s="110"/>
      <c r="E334" s="111"/>
      <c r="F334" s="112"/>
      <c r="G334" s="113"/>
      <c r="H334" s="113"/>
      <c r="I334" s="113"/>
      <c r="J334" s="113"/>
      <c r="K334" s="113"/>
      <c r="L334" s="113"/>
      <c r="M334" s="113"/>
      <c r="N334" s="33"/>
      <c r="O334" s="33"/>
      <c r="P334" s="33"/>
      <c r="Q334" s="33"/>
      <c r="R334" s="33"/>
      <c r="S334" s="31"/>
    </row>
    <row r="335" spans="1:19" ht="180" x14ac:dyDescent="0.25">
      <c r="A335" s="115" t="s">
        <v>482</v>
      </c>
      <c r="B335" s="116" t="s">
        <v>259</v>
      </c>
      <c r="C335" s="117" t="s">
        <v>529</v>
      </c>
      <c r="D335" s="118"/>
      <c r="E335" s="115" t="s">
        <v>225</v>
      </c>
      <c r="F335" s="119">
        <f t="shared" ref="F335:F344" si="136">SUM(G335:M335)</f>
        <v>186.34</v>
      </c>
      <c r="G335" s="105">
        <v>45.44</v>
      </c>
      <c r="H335" s="105">
        <v>46.51</v>
      </c>
      <c r="I335" s="105">
        <v>46.51</v>
      </c>
      <c r="J335" s="105">
        <v>47.88</v>
      </c>
      <c r="K335" s="105"/>
      <c r="L335" s="105"/>
      <c r="M335" s="105"/>
      <c r="N335" s="106">
        <f>VLOOKUP(B335,'Форма КП'!$B$17:$G$23,5,FALSE)</f>
        <v>0</v>
      </c>
      <c r="O335" s="106">
        <f>N335*F335</f>
        <v>0</v>
      </c>
      <c r="P335" s="106"/>
      <c r="Q335" s="106"/>
      <c r="R335" s="106">
        <f>N335</f>
        <v>0</v>
      </c>
      <c r="S335" s="106">
        <f>N335*F335</f>
        <v>0</v>
      </c>
    </row>
    <row r="336" spans="1:19" x14ac:dyDescent="0.25">
      <c r="A336" s="120" t="s">
        <v>483</v>
      </c>
      <c r="B336" s="116" t="s">
        <v>260</v>
      </c>
      <c r="C336" s="121" t="s">
        <v>261</v>
      </c>
      <c r="D336" s="122">
        <v>5</v>
      </c>
      <c r="E336" s="120" t="s">
        <v>231</v>
      </c>
      <c r="F336" s="123">
        <f t="shared" si="136"/>
        <v>931.7</v>
      </c>
      <c r="G336" s="88">
        <f>G335*D336</f>
        <v>227.2</v>
      </c>
      <c r="H336" s="88">
        <f>H335*D336</f>
        <v>232.55</v>
      </c>
      <c r="I336" s="88">
        <f>I335*D336</f>
        <v>232.55</v>
      </c>
      <c r="J336" s="88">
        <f>J335*D336</f>
        <v>239.4</v>
      </c>
      <c r="K336" s="88"/>
      <c r="L336" s="88"/>
      <c r="M336" s="88"/>
      <c r="N336" s="29"/>
      <c r="O336" s="29"/>
      <c r="P336" s="49" t="str">
        <f>VLOOKUP(B336,'Форма КП'!$B$25:$G$47,5,FALSE)</f>
        <v>Материал заказчика</v>
      </c>
      <c r="Q336" s="50"/>
      <c r="R336" s="49" t="str">
        <f t="shared" ref="R336:R337" si="137">P336</f>
        <v>Материал заказчика</v>
      </c>
      <c r="S336" s="50"/>
    </row>
    <row r="337" spans="1:19" x14ac:dyDescent="0.25">
      <c r="A337" s="120" t="s">
        <v>484</v>
      </c>
      <c r="B337" s="116" t="s">
        <v>262</v>
      </c>
      <c r="C337" s="121" t="s">
        <v>263</v>
      </c>
      <c r="D337" s="122" t="s">
        <v>518</v>
      </c>
      <c r="E337" s="120" t="s">
        <v>225</v>
      </c>
      <c r="F337" s="123">
        <f t="shared" si="136"/>
        <v>75.569999999999993</v>
      </c>
      <c r="G337" s="88">
        <f>54.02*0.3*1.15</f>
        <v>18.64</v>
      </c>
      <c r="H337" s="88">
        <f>53.51*0.3*1.15</f>
        <v>18.46</v>
      </c>
      <c r="I337" s="88">
        <f>53.51*0.3*1.15</f>
        <v>18.46</v>
      </c>
      <c r="J337" s="88">
        <f>58*0.3*1.15</f>
        <v>20.010000000000002</v>
      </c>
      <c r="K337" s="88"/>
      <c r="L337" s="88"/>
      <c r="M337" s="88"/>
      <c r="N337" s="29"/>
      <c r="O337" s="29"/>
      <c r="P337" s="49" t="str">
        <f>VLOOKUP(B337,'Форма КП'!$B$25:$G$47,5,FALSE)</f>
        <v>Материал заказчика</v>
      </c>
      <c r="Q337" s="50"/>
      <c r="R337" s="49" t="str">
        <f t="shared" si="137"/>
        <v>Материал заказчика</v>
      </c>
      <c r="S337" s="50"/>
    </row>
    <row r="338" spans="1:19" ht="144" x14ac:dyDescent="0.25">
      <c r="A338" s="115" t="s">
        <v>485</v>
      </c>
      <c r="B338" s="116" t="s">
        <v>280</v>
      </c>
      <c r="C338" s="117" t="s">
        <v>531</v>
      </c>
      <c r="D338" s="118"/>
      <c r="E338" s="115" t="s">
        <v>225</v>
      </c>
      <c r="F338" s="119">
        <f t="shared" si="136"/>
        <v>1191.1600000000001</v>
      </c>
      <c r="G338" s="105">
        <v>302.60000000000002</v>
      </c>
      <c r="H338" s="105">
        <v>286.55</v>
      </c>
      <c r="I338" s="105">
        <v>286.55</v>
      </c>
      <c r="J338" s="105">
        <v>315.45999999999998</v>
      </c>
      <c r="K338" s="105"/>
      <c r="L338" s="105"/>
      <c r="M338" s="105"/>
      <c r="N338" s="106">
        <f>VLOOKUP(B338,'Форма КП'!$B$17:$G$23,5,FALSE)</f>
        <v>0</v>
      </c>
      <c r="O338" s="106">
        <f>N338*F338</f>
        <v>0</v>
      </c>
      <c r="P338" s="106"/>
      <c r="Q338" s="106"/>
      <c r="R338" s="106">
        <f>N338</f>
        <v>0</v>
      </c>
      <c r="S338" s="106">
        <f>N338*F338</f>
        <v>0</v>
      </c>
    </row>
    <row r="339" spans="1:19" x14ac:dyDescent="0.25">
      <c r="A339" s="120" t="s">
        <v>486</v>
      </c>
      <c r="B339" s="116" t="s">
        <v>281</v>
      </c>
      <c r="C339" s="121" t="s">
        <v>282</v>
      </c>
      <c r="D339" s="122">
        <v>1.1499999999999999</v>
      </c>
      <c r="E339" s="120" t="s">
        <v>225</v>
      </c>
      <c r="F339" s="123">
        <f t="shared" si="136"/>
        <v>1369.83</v>
      </c>
      <c r="G339" s="88">
        <f>G338*D339</f>
        <v>347.99</v>
      </c>
      <c r="H339" s="88">
        <f>H338*D339</f>
        <v>329.53</v>
      </c>
      <c r="I339" s="88">
        <f>I338*D339</f>
        <v>329.53</v>
      </c>
      <c r="J339" s="88">
        <f>J338*D339</f>
        <v>362.78</v>
      </c>
      <c r="K339" s="88"/>
      <c r="L339" s="88"/>
      <c r="M339" s="88"/>
      <c r="N339" s="29"/>
      <c r="O339" s="29"/>
      <c r="P339" s="49" t="str">
        <f>VLOOKUP(B339,'Форма КП'!$B$25:$G$47,5,FALSE)</f>
        <v>Материал заказчика</v>
      </c>
      <c r="Q339" s="50"/>
      <c r="R339" s="49" t="str">
        <f t="shared" ref="R339" si="138">P339</f>
        <v>Материал заказчика</v>
      </c>
      <c r="S339" s="50"/>
    </row>
    <row r="340" spans="1:19" ht="168" x14ac:dyDescent="0.25">
      <c r="A340" s="115" t="s">
        <v>487</v>
      </c>
      <c r="B340" s="116" t="s">
        <v>264</v>
      </c>
      <c r="C340" s="117" t="s">
        <v>530</v>
      </c>
      <c r="D340" s="118"/>
      <c r="E340" s="115" t="s">
        <v>225</v>
      </c>
      <c r="F340" s="119">
        <f t="shared" si="136"/>
        <v>1191.1600000000001</v>
      </c>
      <c r="G340" s="105">
        <v>302.60000000000002</v>
      </c>
      <c r="H340" s="105">
        <v>286.55</v>
      </c>
      <c r="I340" s="105">
        <v>286.55</v>
      </c>
      <c r="J340" s="105">
        <v>315.45999999999998</v>
      </c>
      <c r="K340" s="105"/>
      <c r="L340" s="105"/>
      <c r="M340" s="105"/>
      <c r="N340" s="106">
        <f>VLOOKUP(B340,'Форма КП'!$B$17:$G$23,5,FALSE)</f>
        <v>0</v>
      </c>
      <c r="O340" s="106">
        <f>N340*F340</f>
        <v>0</v>
      </c>
      <c r="P340" s="106"/>
      <c r="Q340" s="106"/>
      <c r="R340" s="106">
        <f>N340</f>
        <v>0</v>
      </c>
      <c r="S340" s="106">
        <f>N340*F340</f>
        <v>0</v>
      </c>
    </row>
    <row r="341" spans="1:19" x14ac:dyDescent="0.25">
      <c r="A341" s="120" t="s">
        <v>488</v>
      </c>
      <c r="B341" s="116" t="s">
        <v>265</v>
      </c>
      <c r="C341" s="121" t="s">
        <v>266</v>
      </c>
      <c r="D341" s="91">
        <v>6.1199999999999997E-2</v>
      </c>
      <c r="E341" s="120" t="s">
        <v>267</v>
      </c>
      <c r="F341" s="125">
        <f t="shared" si="136"/>
        <v>72.899000000000001</v>
      </c>
      <c r="G341" s="89">
        <f>G340*D341</f>
        <v>18.518999999999998</v>
      </c>
      <c r="H341" s="89">
        <f>H340*D341</f>
        <v>17.536999999999999</v>
      </c>
      <c r="I341" s="89">
        <f>I340*D341</f>
        <v>17.536999999999999</v>
      </c>
      <c r="J341" s="89">
        <f>J340*D341</f>
        <v>19.306000000000001</v>
      </c>
      <c r="K341" s="89"/>
      <c r="L341" s="89"/>
      <c r="M341" s="89"/>
      <c r="N341" s="29"/>
      <c r="O341" s="29"/>
      <c r="P341" s="86">
        <f>VLOOKUP(B341,'Форма КП'!$B$25:$G$47,5,FALSE)</f>
        <v>0</v>
      </c>
      <c r="Q341" s="86">
        <f t="shared" ref="Q341:Q344" si="139">P341*F341</f>
        <v>0</v>
      </c>
      <c r="R341" s="32">
        <f t="shared" ref="R341:R344" si="140">P341</f>
        <v>0</v>
      </c>
      <c r="S341" s="32">
        <f t="shared" ref="S341:S344" si="141">P341*F341</f>
        <v>0</v>
      </c>
    </row>
    <row r="342" spans="1:19" x14ac:dyDescent="0.25">
      <c r="A342" s="120" t="s">
        <v>489</v>
      </c>
      <c r="B342" s="116" t="s">
        <v>268</v>
      </c>
      <c r="C342" s="121" t="s">
        <v>269</v>
      </c>
      <c r="D342" s="91">
        <v>7.3440000000000005E-2</v>
      </c>
      <c r="E342" s="120" t="s">
        <v>231</v>
      </c>
      <c r="F342" s="123">
        <f t="shared" si="136"/>
        <v>87.47</v>
      </c>
      <c r="G342" s="88">
        <f>G340*D342</f>
        <v>22.22</v>
      </c>
      <c r="H342" s="88">
        <f>H340*D342</f>
        <v>21.04</v>
      </c>
      <c r="I342" s="88">
        <f>I340*D342</f>
        <v>21.04</v>
      </c>
      <c r="J342" s="88">
        <f>J340*D342</f>
        <v>23.17</v>
      </c>
      <c r="K342" s="88"/>
      <c r="L342" s="88"/>
      <c r="M342" s="88"/>
      <c r="N342" s="29"/>
      <c r="O342" s="29"/>
      <c r="P342" s="86">
        <f>VLOOKUP(B342,'Форма КП'!$B$25:$G$47,5,FALSE)</f>
        <v>0</v>
      </c>
      <c r="Q342" s="86">
        <f t="shared" si="139"/>
        <v>0</v>
      </c>
      <c r="R342" s="32">
        <f t="shared" si="140"/>
        <v>0</v>
      </c>
      <c r="S342" s="32">
        <f t="shared" si="141"/>
        <v>0</v>
      </c>
    </row>
    <row r="343" spans="1:19" ht="36" x14ac:dyDescent="0.25">
      <c r="A343" s="120" t="s">
        <v>490</v>
      </c>
      <c r="B343" s="116" t="s">
        <v>270</v>
      </c>
      <c r="C343" s="121" t="s">
        <v>271</v>
      </c>
      <c r="D343" s="91" t="s">
        <v>518</v>
      </c>
      <c r="E343" s="120" t="s">
        <v>6</v>
      </c>
      <c r="F343" s="123">
        <f t="shared" si="136"/>
        <v>1206.3699999999999</v>
      </c>
      <c r="G343" s="88">
        <f>290*1.1</f>
        <v>319</v>
      </c>
      <c r="H343" s="88">
        <f>256.7*1.1</f>
        <v>282.37</v>
      </c>
      <c r="I343" s="88">
        <f>256.7*1.1</f>
        <v>282.37</v>
      </c>
      <c r="J343" s="88">
        <f>293.3*1.1</f>
        <v>322.63</v>
      </c>
      <c r="K343" s="88"/>
      <c r="L343" s="88"/>
      <c r="M343" s="88"/>
      <c r="N343" s="29"/>
      <c r="O343" s="29"/>
      <c r="P343" s="86">
        <f>VLOOKUP(B343,'Форма КП'!$B$25:$G$47,5,FALSE)</f>
        <v>0</v>
      </c>
      <c r="Q343" s="86">
        <f t="shared" si="139"/>
        <v>0</v>
      </c>
      <c r="R343" s="32">
        <f t="shared" si="140"/>
        <v>0</v>
      </c>
      <c r="S343" s="32">
        <f t="shared" si="141"/>
        <v>0</v>
      </c>
    </row>
    <row r="344" spans="1:19" x14ac:dyDescent="0.25">
      <c r="A344" s="120" t="s">
        <v>491</v>
      </c>
      <c r="B344" s="116" t="s">
        <v>272</v>
      </c>
      <c r="C344" s="121" t="s">
        <v>273</v>
      </c>
      <c r="D344" s="91">
        <v>1.1499999999999999</v>
      </c>
      <c r="E344" s="120" t="s">
        <v>225</v>
      </c>
      <c r="F344" s="123">
        <f t="shared" si="136"/>
        <v>1155.55</v>
      </c>
      <c r="G344" s="88">
        <f>(G340-G335)*D344</f>
        <v>295.73</v>
      </c>
      <c r="H344" s="88">
        <f>(H340-H335)*D344</f>
        <v>276.05</v>
      </c>
      <c r="I344" s="88">
        <f>(I340-I335)*D344</f>
        <v>276.05</v>
      </c>
      <c r="J344" s="88">
        <f>(J340-J335)*D344</f>
        <v>307.72000000000003</v>
      </c>
      <c r="K344" s="88"/>
      <c r="L344" s="88"/>
      <c r="M344" s="88"/>
      <c r="N344" s="29"/>
      <c r="O344" s="29"/>
      <c r="P344" s="86">
        <f>VLOOKUP(B344,'Форма КП'!$B$25:$G$47,5,FALSE)</f>
        <v>0</v>
      </c>
      <c r="Q344" s="86">
        <f t="shared" si="139"/>
        <v>0</v>
      </c>
      <c r="R344" s="32">
        <f t="shared" si="140"/>
        <v>0</v>
      </c>
      <c r="S344" s="32">
        <f t="shared" si="141"/>
        <v>0</v>
      </c>
    </row>
    <row r="345" spans="1:19" x14ac:dyDescent="0.25">
      <c r="A345" s="107" t="s">
        <v>492</v>
      </c>
      <c r="B345" s="108"/>
      <c r="C345" s="109"/>
      <c r="D345" s="110"/>
      <c r="E345" s="111"/>
      <c r="F345" s="112"/>
      <c r="G345" s="113"/>
      <c r="H345" s="113"/>
      <c r="I345" s="113"/>
      <c r="J345" s="113"/>
      <c r="K345" s="113"/>
      <c r="L345" s="113"/>
      <c r="M345" s="113"/>
      <c r="N345" s="33"/>
      <c r="O345" s="33"/>
      <c r="P345" s="33"/>
      <c r="Q345" s="33"/>
      <c r="R345" s="33"/>
      <c r="S345" s="31"/>
    </row>
    <row r="346" spans="1:19" x14ac:dyDescent="0.25">
      <c r="A346" s="114" t="s">
        <v>223</v>
      </c>
      <c r="B346" s="108"/>
      <c r="C346" s="109"/>
      <c r="D346" s="110"/>
      <c r="E346" s="111"/>
      <c r="F346" s="112"/>
      <c r="G346" s="113"/>
      <c r="H346" s="113"/>
      <c r="I346" s="113"/>
      <c r="J346" s="113"/>
      <c r="K346" s="113"/>
      <c r="L346" s="113"/>
      <c r="M346" s="113"/>
      <c r="N346" s="33"/>
      <c r="O346" s="33"/>
      <c r="P346" s="33"/>
      <c r="Q346" s="33"/>
      <c r="R346" s="33"/>
      <c r="S346" s="31"/>
    </row>
    <row r="347" spans="1:19" ht="168" x14ac:dyDescent="0.25">
      <c r="A347" s="115" t="s">
        <v>493</v>
      </c>
      <c r="B347" s="116" t="s">
        <v>264</v>
      </c>
      <c r="C347" s="117" t="s">
        <v>530</v>
      </c>
      <c r="D347" s="118"/>
      <c r="E347" s="115" t="s">
        <v>225</v>
      </c>
      <c r="F347" s="119">
        <f t="shared" ref="F347:F360" si="142">SUM(G347:M347)</f>
        <v>213.46</v>
      </c>
      <c r="G347" s="105">
        <v>68.44</v>
      </c>
      <c r="H347" s="105">
        <v>43.48</v>
      </c>
      <c r="I347" s="105">
        <v>43.52</v>
      </c>
      <c r="J347" s="105">
        <v>58.02</v>
      </c>
      <c r="K347" s="126"/>
      <c r="L347" s="126"/>
      <c r="M347" s="126"/>
      <c r="N347" s="106">
        <f>VLOOKUP(B347,'Форма КП'!$B$17:$G$23,5,FALSE)</f>
        <v>0</v>
      </c>
      <c r="O347" s="106">
        <f>N347*F347</f>
        <v>0</v>
      </c>
      <c r="P347" s="106"/>
      <c r="Q347" s="106"/>
      <c r="R347" s="106">
        <f>N347</f>
        <v>0</v>
      </c>
      <c r="S347" s="106">
        <f>N347*F347</f>
        <v>0</v>
      </c>
    </row>
    <row r="348" spans="1:19" x14ac:dyDescent="0.25">
      <c r="A348" s="120" t="s">
        <v>494</v>
      </c>
      <c r="B348" s="116" t="s">
        <v>265</v>
      </c>
      <c r="C348" s="121" t="s">
        <v>266</v>
      </c>
      <c r="D348" s="91">
        <v>6.1199999999999997E-2</v>
      </c>
      <c r="E348" s="120" t="s">
        <v>267</v>
      </c>
      <c r="F348" s="125">
        <f t="shared" si="142"/>
        <v>13.064</v>
      </c>
      <c r="G348" s="89">
        <f>G347*D348</f>
        <v>4.1890000000000001</v>
      </c>
      <c r="H348" s="89">
        <f>H347*D348</f>
        <v>2.661</v>
      </c>
      <c r="I348" s="89">
        <f>I347*D348</f>
        <v>2.6629999999999998</v>
      </c>
      <c r="J348" s="89">
        <f>J347*D348</f>
        <v>3.5510000000000002</v>
      </c>
      <c r="K348" s="127"/>
      <c r="L348" s="127"/>
      <c r="M348" s="127"/>
      <c r="N348" s="29"/>
      <c r="O348" s="29"/>
      <c r="P348" s="86">
        <f>VLOOKUP(B348,'Форма КП'!$B$25:$G$47,5,FALSE)</f>
        <v>0</v>
      </c>
      <c r="Q348" s="86">
        <f t="shared" ref="Q348:Q350" si="143">P348*F348</f>
        <v>0</v>
      </c>
      <c r="R348" s="32">
        <f t="shared" ref="R348:R350" si="144">P348</f>
        <v>0</v>
      </c>
      <c r="S348" s="32">
        <f t="shared" ref="S348:S350" si="145">P348*F348</f>
        <v>0</v>
      </c>
    </row>
    <row r="349" spans="1:19" x14ac:dyDescent="0.25">
      <c r="A349" s="120" t="s">
        <v>495</v>
      </c>
      <c r="B349" s="116" t="s">
        <v>268</v>
      </c>
      <c r="C349" s="121" t="s">
        <v>269</v>
      </c>
      <c r="D349" s="91">
        <v>7.3440000000000005E-2</v>
      </c>
      <c r="E349" s="120" t="s">
        <v>231</v>
      </c>
      <c r="F349" s="123">
        <f t="shared" si="142"/>
        <v>15.68</v>
      </c>
      <c r="G349" s="88">
        <f>G347*D349</f>
        <v>5.03</v>
      </c>
      <c r="H349" s="88">
        <f>H347*D349</f>
        <v>3.19</v>
      </c>
      <c r="I349" s="88">
        <f>I347*D349</f>
        <v>3.2</v>
      </c>
      <c r="J349" s="88">
        <f>J347*D349</f>
        <v>4.26</v>
      </c>
      <c r="K349" s="127"/>
      <c r="L349" s="127"/>
      <c r="M349" s="127"/>
      <c r="N349" s="29"/>
      <c r="O349" s="29"/>
      <c r="P349" s="86">
        <f>VLOOKUP(B349,'Форма КП'!$B$25:$G$47,5,FALSE)</f>
        <v>0</v>
      </c>
      <c r="Q349" s="86">
        <f t="shared" si="143"/>
        <v>0</v>
      </c>
      <c r="R349" s="32">
        <f t="shared" si="144"/>
        <v>0</v>
      </c>
      <c r="S349" s="32">
        <f t="shared" si="145"/>
        <v>0</v>
      </c>
    </row>
    <row r="350" spans="1:19" ht="36" x14ac:dyDescent="0.25">
      <c r="A350" s="120" t="s">
        <v>496</v>
      </c>
      <c r="B350" s="116" t="s">
        <v>270</v>
      </c>
      <c r="C350" s="121" t="s">
        <v>271</v>
      </c>
      <c r="D350" s="91" t="s">
        <v>518</v>
      </c>
      <c r="E350" s="120" t="s">
        <v>6</v>
      </c>
      <c r="F350" s="123">
        <f t="shared" si="142"/>
        <v>291.91000000000003</v>
      </c>
      <c r="G350" s="90">
        <f>(95.43-8.39)*1.1</f>
        <v>95.74</v>
      </c>
      <c r="H350" s="90">
        <f>(58.9-7.4)*1.1</f>
        <v>56.65</v>
      </c>
      <c r="I350" s="90">
        <f>(58.98-7.4)*1.1</f>
        <v>56.74</v>
      </c>
      <c r="J350" s="90">
        <f>(81.65-6.4)*1.1</f>
        <v>82.78</v>
      </c>
      <c r="K350" s="127"/>
      <c r="L350" s="127"/>
      <c r="M350" s="127"/>
      <c r="N350" s="29"/>
      <c r="O350" s="29"/>
      <c r="P350" s="86">
        <f>VLOOKUP(B350,'Форма КП'!$B$25:$G$47,5,FALSE)</f>
        <v>0</v>
      </c>
      <c r="Q350" s="86">
        <f t="shared" si="143"/>
        <v>0</v>
      </c>
      <c r="R350" s="32">
        <f t="shared" si="144"/>
        <v>0</v>
      </c>
      <c r="S350" s="32">
        <f t="shared" si="145"/>
        <v>0</v>
      </c>
    </row>
    <row r="351" spans="1:19" ht="156" x14ac:dyDescent="0.25">
      <c r="A351" s="115" t="s">
        <v>497</v>
      </c>
      <c r="B351" s="116" t="s">
        <v>224</v>
      </c>
      <c r="C351" s="117" t="s">
        <v>525</v>
      </c>
      <c r="D351" s="118"/>
      <c r="E351" s="115" t="s">
        <v>225</v>
      </c>
      <c r="F351" s="119">
        <f t="shared" si="142"/>
        <v>193.55</v>
      </c>
      <c r="G351" s="105">
        <v>56.34</v>
      </c>
      <c r="H351" s="105">
        <v>43.25</v>
      </c>
      <c r="I351" s="105">
        <v>43.24</v>
      </c>
      <c r="J351" s="105">
        <v>50.72</v>
      </c>
      <c r="K351" s="126"/>
      <c r="L351" s="126"/>
      <c r="M351" s="126"/>
      <c r="N351" s="106">
        <f>VLOOKUP(B351,'Форма КП'!$B$17:$G$23,5,FALSE)</f>
        <v>0</v>
      </c>
      <c r="O351" s="106">
        <f>N351*F351</f>
        <v>0</v>
      </c>
      <c r="P351" s="106"/>
      <c r="Q351" s="106"/>
      <c r="R351" s="106">
        <f>N351</f>
        <v>0</v>
      </c>
      <c r="S351" s="106">
        <f>N351*F351</f>
        <v>0</v>
      </c>
    </row>
    <row r="352" spans="1:19" x14ac:dyDescent="0.25">
      <c r="A352" s="120" t="s">
        <v>498</v>
      </c>
      <c r="B352" s="116" t="s">
        <v>226</v>
      </c>
      <c r="C352" s="121" t="s">
        <v>227</v>
      </c>
      <c r="D352" s="91">
        <v>0.15</v>
      </c>
      <c r="E352" s="120" t="s">
        <v>228</v>
      </c>
      <c r="F352" s="123">
        <f t="shared" si="142"/>
        <v>29.04</v>
      </c>
      <c r="G352" s="88">
        <f>G351*D352</f>
        <v>8.4499999999999993</v>
      </c>
      <c r="H352" s="88">
        <f>H351*D352</f>
        <v>6.49</v>
      </c>
      <c r="I352" s="88">
        <f>I351*D352</f>
        <v>6.49</v>
      </c>
      <c r="J352" s="88">
        <f>J351*D352</f>
        <v>7.61</v>
      </c>
      <c r="K352" s="127"/>
      <c r="L352" s="127"/>
      <c r="M352" s="127"/>
      <c r="N352" s="29"/>
      <c r="O352" s="29"/>
      <c r="P352" s="49" t="str">
        <f>VLOOKUP(B352,'Форма КП'!$B$25:$G$47,5,FALSE)</f>
        <v>Материал заказчика</v>
      </c>
      <c r="Q352" s="50"/>
      <c r="R352" s="49" t="str">
        <f t="shared" ref="R352:R355" si="146">P352</f>
        <v>Материал заказчика</v>
      </c>
      <c r="S352" s="50"/>
    </row>
    <row r="353" spans="1:19" x14ac:dyDescent="0.25">
      <c r="A353" s="120" t="s">
        <v>499</v>
      </c>
      <c r="B353" s="116" t="s">
        <v>229</v>
      </c>
      <c r="C353" s="121" t="s">
        <v>230</v>
      </c>
      <c r="D353" s="91">
        <v>8</v>
      </c>
      <c r="E353" s="120" t="s">
        <v>231</v>
      </c>
      <c r="F353" s="123">
        <f t="shared" si="142"/>
        <v>1548.4</v>
      </c>
      <c r="G353" s="88">
        <f>G351*D353</f>
        <v>450.72</v>
      </c>
      <c r="H353" s="88">
        <f>H351*D353</f>
        <v>346</v>
      </c>
      <c r="I353" s="88">
        <f>I351*D353</f>
        <v>345.92</v>
      </c>
      <c r="J353" s="88">
        <f>J351*D353</f>
        <v>405.76</v>
      </c>
      <c r="K353" s="127"/>
      <c r="L353" s="127"/>
      <c r="M353" s="127"/>
      <c r="N353" s="29"/>
      <c r="O353" s="29"/>
      <c r="P353" s="49" t="str">
        <f>VLOOKUP(B353,'Форма КП'!$B$25:$G$47,5,FALSE)</f>
        <v>Материал заказчика</v>
      </c>
      <c r="Q353" s="50"/>
      <c r="R353" s="49" t="str">
        <f t="shared" si="146"/>
        <v>Материал заказчика</v>
      </c>
      <c r="S353" s="50"/>
    </row>
    <row r="354" spans="1:19" x14ac:dyDescent="0.25">
      <c r="A354" s="120" t="s">
        <v>500</v>
      </c>
      <c r="B354" s="116" t="s">
        <v>232</v>
      </c>
      <c r="C354" s="121" t="s">
        <v>233</v>
      </c>
      <c r="D354" s="91">
        <v>0.2</v>
      </c>
      <c r="E354" s="120" t="s">
        <v>231</v>
      </c>
      <c r="F354" s="123">
        <f t="shared" si="142"/>
        <v>38.71</v>
      </c>
      <c r="G354" s="88">
        <f>G351*D354</f>
        <v>11.27</v>
      </c>
      <c r="H354" s="88">
        <f>H351*D354</f>
        <v>8.65</v>
      </c>
      <c r="I354" s="88">
        <f>I351*D354</f>
        <v>8.65</v>
      </c>
      <c r="J354" s="88">
        <f>J351*D354</f>
        <v>10.14</v>
      </c>
      <c r="K354" s="127"/>
      <c r="L354" s="127"/>
      <c r="M354" s="127"/>
      <c r="N354" s="29"/>
      <c r="O354" s="29"/>
      <c r="P354" s="49" t="str">
        <f>VLOOKUP(B354,'Форма КП'!$B$25:$G$47,5,FALSE)</f>
        <v>Материал заказчика</v>
      </c>
      <c r="Q354" s="50"/>
      <c r="R354" s="49" t="str">
        <f t="shared" si="146"/>
        <v>Материал заказчика</v>
      </c>
      <c r="S354" s="50"/>
    </row>
    <row r="355" spans="1:19" x14ac:dyDescent="0.25">
      <c r="A355" s="120" t="s">
        <v>501</v>
      </c>
      <c r="B355" s="116" t="s">
        <v>276</v>
      </c>
      <c r="C355" s="121" t="s">
        <v>277</v>
      </c>
      <c r="D355" s="91">
        <v>1.05</v>
      </c>
      <c r="E355" s="120" t="s">
        <v>225</v>
      </c>
      <c r="F355" s="123">
        <f t="shared" si="142"/>
        <v>203.23</v>
      </c>
      <c r="G355" s="88">
        <f>G351*D355</f>
        <v>59.16</v>
      </c>
      <c r="H355" s="88">
        <f>H351*D355</f>
        <v>45.41</v>
      </c>
      <c r="I355" s="88">
        <f>I351*D355</f>
        <v>45.4</v>
      </c>
      <c r="J355" s="88">
        <f>J351*D355</f>
        <v>53.26</v>
      </c>
      <c r="K355" s="127"/>
      <c r="L355" s="127"/>
      <c r="M355" s="127"/>
      <c r="N355" s="29"/>
      <c r="O355" s="29"/>
      <c r="P355" s="49" t="str">
        <f>VLOOKUP(B355,'Форма КП'!$B$25:$G$47,5,FALSE)</f>
        <v>Материал заказчика</v>
      </c>
      <c r="Q355" s="50"/>
      <c r="R355" s="49" t="str">
        <f t="shared" si="146"/>
        <v>Материал заказчика</v>
      </c>
      <c r="S355" s="50"/>
    </row>
    <row r="356" spans="1:19" ht="168" x14ac:dyDescent="0.25">
      <c r="A356" s="115" t="s">
        <v>502</v>
      </c>
      <c r="B356" s="116" t="s">
        <v>251</v>
      </c>
      <c r="C356" s="117" t="s">
        <v>527</v>
      </c>
      <c r="D356" s="118"/>
      <c r="E356" s="115" t="s">
        <v>6</v>
      </c>
      <c r="F356" s="119">
        <f t="shared" si="142"/>
        <v>195.67</v>
      </c>
      <c r="G356" s="105">
        <v>55.77</v>
      </c>
      <c r="H356" s="105">
        <v>44.58</v>
      </c>
      <c r="I356" s="105">
        <v>44.58</v>
      </c>
      <c r="J356" s="105">
        <v>50.74</v>
      </c>
      <c r="K356" s="126"/>
      <c r="L356" s="126"/>
      <c r="M356" s="126"/>
      <c r="N356" s="106">
        <f>VLOOKUP(B356,'Форма КП'!$B$17:$G$23,5,FALSE)</f>
        <v>0</v>
      </c>
      <c r="O356" s="106">
        <f>N356*F356</f>
        <v>0</v>
      </c>
      <c r="P356" s="106"/>
      <c r="Q356" s="106"/>
      <c r="R356" s="106">
        <f>N356</f>
        <v>0</v>
      </c>
      <c r="S356" s="106">
        <f>N356*F356</f>
        <v>0</v>
      </c>
    </row>
    <row r="357" spans="1:19" x14ac:dyDescent="0.25">
      <c r="A357" s="120" t="s">
        <v>503</v>
      </c>
      <c r="B357" s="116" t="s">
        <v>252</v>
      </c>
      <c r="C357" s="121" t="s">
        <v>227</v>
      </c>
      <c r="D357" s="91">
        <v>1.4999999999999999E-2</v>
      </c>
      <c r="E357" s="120" t="s">
        <v>231</v>
      </c>
      <c r="F357" s="123">
        <f t="shared" si="142"/>
        <v>2.94</v>
      </c>
      <c r="G357" s="88">
        <f>G356*D357</f>
        <v>0.84</v>
      </c>
      <c r="H357" s="88">
        <f>H356*D357</f>
        <v>0.67</v>
      </c>
      <c r="I357" s="88">
        <f>I356*D357</f>
        <v>0.67</v>
      </c>
      <c r="J357" s="88">
        <f>J356*D357</f>
        <v>0.76</v>
      </c>
      <c r="K357" s="127"/>
      <c r="L357" s="127"/>
      <c r="M357" s="127"/>
      <c r="N357" s="29"/>
      <c r="O357" s="29"/>
      <c r="P357" s="49" t="str">
        <f>VLOOKUP(B357,'Форма КП'!$B$25:$G$47,5,FALSE)</f>
        <v>Материал заказчика</v>
      </c>
      <c r="Q357" s="50"/>
      <c r="R357" s="49" t="str">
        <f t="shared" ref="R357:R360" si="147">P357</f>
        <v>Материал заказчика</v>
      </c>
      <c r="S357" s="50"/>
    </row>
    <row r="358" spans="1:19" x14ac:dyDescent="0.25">
      <c r="A358" s="120" t="s">
        <v>504</v>
      </c>
      <c r="B358" s="116" t="s">
        <v>229</v>
      </c>
      <c r="C358" s="121" t="s">
        <v>230</v>
      </c>
      <c r="D358" s="91">
        <v>0.8</v>
      </c>
      <c r="E358" s="120" t="s">
        <v>231</v>
      </c>
      <c r="F358" s="123">
        <f t="shared" si="142"/>
        <v>156.53</v>
      </c>
      <c r="G358" s="88">
        <f>G356*D358</f>
        <v>44.62</v>
      </c>
      <c r="H358" s="88">
        <f>H356*D358</f>
        <v>35.659999999999997</v>
      </c>
      <c r="I358" s="88">
        <f>I356*D358</f>
        <v>35.659999999999997</v>
      </c>
      <c r="J358" s="88">
        <f>J356*D358</f>
        <v>40.590000000000003</v>
      </c>
      <c r="K358" s="127"/>
      <c r="L358" s="127"/>
      <c r="M358" s="127"/>
      <c r="N358" s="29"/>
      <c r="O358" s="29"/>
      <c r="P358" s="49" t="str">
        <f>VLOOKUP(B358,'Форма КП'!$B$25:$G$47,5,FALSE)</f>
        <v>Материал заказчика</v>
      </c>
      <c r="Q358" s="50"/>
      <c r="R358" s="49" t="str">
        <f t="shared" si="147"/>
        <v>Материал заказчика</v>
      </c>
      <c r="S358" s="50"/>
    </row>
    <row r="359" spans="1:19" x14ac:dyDescent="0.25">
      <c r="A359" s="120" t="s">
        <v>505</v>
      </c>
      <c r="B359" s="116" t="s">
        <v>232</v>
      </c>
      <c r="C359" s="121" t="s">
        <v>233</v>
      </c>
      <c r="D359" s="91">
        <v>0.02</v>
      </c>
      <c r="E359" s="120" t="s">
        <v>231</v>
      </c>
      <c r="F359" s="123">
        <f t="shared" si="142"/>
        <v>3.91</v>
      </c>
      <c r="G359" s="88">
        <f>G356*D359</f>
        <v>1.1200000000000001</v>
      </c>
      <c r="H359" s="88">
        <f>H356*D359</f>
        <v>0.89</v>
      </c>
      <c r="I359" s="88">
        <f>I356*D359</f>
        <v>0.89</v>
      </c>
      <c r="J359" s="88">
        <f>J356*D359</f>
        <v>1.01</v>
      </c>
      <c r="K359" s="127"/>
      <c r="L359" s="127"/>
      <c r="M359" s="127"/>
      <c r="N359" s="29"/>
      <c r="O359" s="29"/>
      <c r="P359" s="49" t="str">
        <f>VLOOKUP(B359,'Форма КП'!$B$25:$G$47,5,FALSE)</f>
        <v>Материал заказчика</v>
      </c>
      <c r="Q359" s="50"/>
      <c r="R359" s="49" t="str">
        <f t="shared" si="147"/>
        <v>Материал заказчика</v>
      </c>
      <c r="S359" s="50"/>
    </row>
    <row r="360" spans="1:19" ht="24" x14ac:dyDescent="0.25">
      <c r="A360" s="120" t="s">
        <v>506</v>
      </c>
      <c r="B360" s="116" t="s">
        <v>253</v>
      </c>
      <c r="C360" s="121" t="s">
        <v>254</v>
      </c>
      <c r="D360" s="91">
        <v>0.11</v>
      </c>
      <c r="E360" s="120" t="s">
        <v>225</v>
      </c>
      <c r="F360" s="123">
        <f t="shared" si="142"/>
        <v>21.51</v>
      </c>
      <c r="G360" s="88">
        <f>G356*D360</f>
        <v>6.13</v>
      </c>
      <c r="H360" s="88">
        <f>H356*D360</f>
        <v>4.9000000000000004</v>
      </c>
      <c r="I360" s="88">
        <f>I356*D360</f>
        <v>4.9000000000000004</v>
      </c>
      <c r="J360" s="88">
        <f>J356*D360</f>
        <v>5.58</v>
      </c>
      <c r="K360" s="127"/>
      <c r="L360" s="127"/>
      <c r="M360" s="127"/>
      <c r="N360" s="29"/>
      <c r="O360" s="29"/>
      <c r="P360" s="49" t="str">
        <f>VLOOKUP(B360,'Форма КП'!$B$25:$G$47,5,FALSE)</f>
        <v>Материал заказчика</v>
      </c>
      <c r="Q360" s="50"/>
      <c r="R360" s="49" t="str">
        <f t="shared" si="147"/>
        <v>Материал заказчика</v>
      </c>
      <c r="S360" s="50"/>
    </row>
    <row r="361" spans="1:19" x14ac:dyDescent="0.25">
      <c r="A361" s="114" t="s">
        <v>278</v>
      </c>
      <c r="B361" s="108"/>
      <c r="C361" s="109"/>
      <c r="D361" s="110"/>
      <c r="E361" s="111"/>
      <c r="F361" s="112"/>
      <c r="G361" s="113"/>
      <c r="H361" s="113"/>
      <c r="I361" s="113"/>
      <c r="J361" s="113"/>
      <c r="K361" s="113"/>
      <c r="L361" s="113"/>
      <c r="M361" s="113"/>
      <c r="N361" s="33"/>
      <c r="O361" s="33"/>
      <c r="P361" s="33"/>
      <c r="Q361" s="33"/>
      <c r="R361" s="33"/>
      <c r="S361" s="31"/>
    </row>
    <row r="362" spans="1:19" ht="180" x14ac:dyDescent="0.25">
      <c r="A362" s="115" t="s">
        <v>507</v>
      </c>
      <c r="B362" s="116" t="s">
        <v>259</v>
      </c>
      <c r="C362" s="117" t="s">
        <v>529</v>
      </c>
      <c r="D362" s="118"/>
      <c r="E362" s="115" t="s">
        <v>225</v>
      </c>
      <c r="F362" s="119">
        <f t="shared" ref="F362:F371" si="148">SUM(G362:M362)</f>
        <v>186.34</v>
      </c>
      <c r="G362" s="105">
        <v>45.44</v>
      </c>
      <c r="H362" s="105">
        <v>46.51</v>
      </c>
      <c r="I362" s="105">
        <v>46.51</v>
      </c>
      <c r="J362" s="105">
        <v>47.88</v>
      </c>
      <c r="K362" s="126"/>
      <c r="L362" s="126"/>
      <c r="M362" s="126"/>
      <c r="N362" s="106">
        <f>VLOOKUP(B362,'Форма КП'!$B$17:$G$23,5,FALSE)</f>
        <v>0</v>
      </c>
      <c r="O362" s="106">
        <f>N362*F362</f>
        <v>0</v>
      </c>
      <c r="P362" s="106"/>
      <c r="Q362" s="106"/>
      <c r="R362" s="106">
        <f>N362</f>
        <v>0</v>
      </c>
      <c r="S362" s="106">
        <f>N362*F362</f>
        <v>0</v>
      </c>
    </row>
    <row r="363" spans="1:19" x14ac:dyDescent="0.25">
      <c r="A363" s="120" t="s">
        <v>508</v>
      </c>
      <c r="B363" s="116" t="s">
        <v>260</v>
      </c>
      <c r="C363" s="121" t="s">
        <v>261</v>
      </c>
      <c r="D363" s="122">
        <v>5</v>
      </c>
      <c r="E363" s="120" t="s">
        <v>231</v>
      </c>
      <c r="F363" s="123">
        <f t="shared" si="148"/>
        <v>931.7</v>
      </c>
      <c r="G363" s="88">
        <f>G362*D363</f>
        <v>227.2</v>
      </c>
      <c r="H363" s="88">
        <f>H362*D363</f>
        <v>232.55</v>
      </c>
      <c r="I363" s="88">
        <f>I362*D363</f>
        <v>232.55</v>
      </c>
      <c r="J363" s="88">
        <f>J362*D363</f>
        <v>239.4</v>
      </c>
      <c r="K363" s="127"/>
      <c r="L363" s="127"/>
      <c r="M363" s="127"/>
      <c r="N363" s="29"/>
      <c r="O363" s="29"/>
      <c r="P363" s="49" t="str">
        <f>VLOOKUP(B363,'Форма КП'!$B$25:$G$47,5,FALSE)</f>
        <v>Материал заказчика</v>
      </c>
      <c r="Q363" s="50"/>
      <c r="R363" s="49" t="str">
        <f t="shared" ref="R363:R364" si="149">P363</f>
        <v>Материал заказчика</v>
      </c>
      <c r="S363" s="50"/>
    </row>
    <row r="364" spans="1:19" x14ac:dyDescent="0.25">
      <c r="A364" s="120" t="s">
        <v>509</v>
      </c>
      <c r="B364" s="116" t="s">
        <v>262</v>
      </c>
      <c r="C364" s="121" t="s">
        <v>263</v>
      </c>
      <c r="D364" s="122" t="s">
        <v>518</v>
      </c>
      <c r="E364" s="120" t="s">
        <v>225</v>
      </c>
      <c r="F364" s="123">
        <f t="shared" si="148"/>
        <v>75.569999999999993</v>
      </c>
      <c r="G364" s="88">
        <f>54.02*0.3*1.15</f>
        <v>18.64</v>
      </c>
      <c r="H364" s="88">
        <f>53.51*0.3*1.15</f>
        <v>18.46</v>
      </c>
      <c r="I364" s="88">
        <f>53.51*0.3*1.15</f>
        <v>18.46</v>
      </c>
      <c r="J364" s="88">
        <f>58*0.3*1.15</f>
        <v>20.010000000000002</v>
      </c>
      <c r="K364" s="127"/>
      <c r="L364" s="127"/>
      <c r="M364" s="127"/>
      <c r="N364" s="29"/>
      <c r="O364" s="29"/>
      <c r="P364" s="49" t="str">
        <f>VLOOKUP(B364,'Форма КП'!$B$25:$G$47,5,FALSE)</f>
        <v>Материал заказчика</v>
      </c>
      <c r="Q364" s="50"/>
      <c r="R364" s="49" t="str">
        <f t="shared" si="149"/>
        <v>Материал заказчика</v>
      </c>
      <c r="S364" s="50"/>
    </row>
    <row r="365" spans="1:19" ht="144" x14ac:dyDescent="0.25">
      <c r="A365" s="115" t="s">
        <v>510</v>
      </c>
      <c r="B365" s="116" t="s">
        <v>280</v>
      </c>
      <c r="C365" s="117" t="s">
        <v>531</v>
      </c>
      <c r="D365" s="118"/>
      <c r="E365" s="115" t="s">
        <v>225</v>
      </c>
      <c r="F365" s="119">
        <f t="shared" si="148"/>
        <v>1191.1600000000001</v>
      </c>
      <c r="G365" s="105">
        <v>302.60000000000002</v>
      </c>
      <c r="H365" s="105">
        <v>286.55</v>
      </c>
      <c r="I365" s="105">
        <v>286.55</v>
      </c>
      <c r="J365" s="105">
        <v>315.45999999999998</v>
      </c>
      <c r="K365" s="126"/>
      <c r="L365" s="126"/>
      <c r="M365" s="126"/>
      <c r="N365" s="106">
        <f>VLOOKUP(B365,'Форма КП'!$B$17:$G$23,5,FALSE)</f>
        <v>0</v>
      </c>
      <c r="O365" s="106">
        <f>N365*F365</f>
        <v>0</v>
      </c>
      <c r="P365" s="106"/>
      <c r="Q365" s="106"/>
      <c r="R365" s="106">
        <f>N365</f>
        <v>0</v>
      </c>
      <c r="S365" s="106">
        <f>N365*F365</f>
        <v>0</v>
      </c>
    </row>
    <row r="366" spans="1:19" x14ac:dyDescent="0.25">
      <c r="A366" s="120" t="s">
        <v>511</v>
      </c>
      <c r="B366" s="116" t="s">
        <v>281</v>
      </c>
      <c r="C366" s="121" t="s">
        <v>282</v>
      </c>
      <c r="D366" s="122">
        <v>1.1499999999999999</v>
      </c>
      <c r="E366" s="120" t="s">
        <v>225</v>
      </c>
      <c r="F366" s="123">
        <f t="shared" si="148"/>
        <v>1369.83</v>
      </c>
      <c r="G366" s="88">
        <f>G365*D366</f>
        <v>347.99</v>
      </c>
      <c r="H366" s="88">
        <f>H365*D366</f>
        <v>329.53</v>
      </c>
      <c r="I366" s="88">
        <f>I365*D366</f>
        <v>329.53</v>
      </c>
      <c r="J366" s="88">
        <f>J365*D366</f>
        <v>362.78</v>
      </c>
      <c r="K366" s="127"/>
      <c r="L366" s="127"/>
      <c r="M366" s="127"/>
      <c r="N366" s="29"/>
      <c r="O366" s="29"/>
      <c r="P366" s="49" t="str">
        <f>VLOOKUP(B366,'Форма КП'!$B$25:$G$47,5,FALSE)</f>
        <v>Материал заказчика</v>
      </c>
      <c r="Q366" s="50"/>
      <c r="R366" s="49" t="str">
        <f t="shared" ref="R366" si="150">P366</f>
        <v>Материал заказчика</v>
      </c>
      <c r="S366" s="50"/>
    </row>
    <row r="367" spans="1:19" ht="168" x14ac:dyDescent="0.25">
      <c r="A367" s="115" t="s">
        <v>512</v>
      </c>
      <c r="B367" s="116" t="s">
        <v>264</v>
      </c>
      <c r="C367" s="117" t="s">
        <v>530</v>
      </c>
      <c r="D367" s="118"/>
      <c r="E367" s="115" t="s">
        <v>225</v>
      </c>
      <c r="F367" s="119">
        <f t="shared" si="148"/>
        <v>1191.1600000000001</v>
      </c>
      <c r="G367" s="105">
        <v>302.60000000000002</v>
      </c>
      <c r="H367" s="105">
        <v>286.55</v>
      </c>
      <c r="I367" s="105">
        <v>286.55</v>
      </c>
      <c r="J367" s="105">
        <v>315.45999999999998</v>
      </c>
      <c r="K367" s="126"/>
      <c r="L367" s="126"/>
      <c r="M367" s="126"/>
      <c r="N367" s="106">
        <f>VLOOKUP(B367,'Форма КП'!$B$17:$G$23,5,FALSE)</f>
        <v>0</v>
      </c>
      <c r="O367" s="106">
        <f>N367*F367</f>
        <v>0</v>
      </c>
      <c r="P367" s="106"/>
      <c r="Q367" s="106"/>
      <c r="R367" s="106">
        <f>N367</f>
        <v>0</v>
      </c>
      <c r="S367" s="106">
        <f>N367*F367</f>
        <v>0</v>
      </c>
    </row>
    <row r="368" spans="1:19" x14ac:dyDescent="0.25">
      <c r="A368" s="120" t="s">
        <v>513</v>
      </c>
      <c r="B368" s="116" t="s">
        <v>265</v>
      </c>
      <c r="C368" s="121" t="s">
        <v>266</v>
      </c>
      <c r="D368" s="91">
        <v>6.1199999999999997E-2</v>
      </c>
      <c r="E368" s="120" t="s">
        <v>267</v>
      </c>
      <c r="F368" s="125">
        <f t="shared" si="148"/>
        <v>72.899000000000001</v>
      </c>
      <c r="G368" s="89">
        <f>G367*D368</f>
        <v>18.518999999999998</v>
      </c>
      <c r="H368" s="89">
        <f>H367*D368</f>
        <v>17.536999999999999</v>
      </c>
      <c r="I368" s="89">
        <f>I367*D368</f>
        <v>17.536999999999999</v>
      </c>
      <c r="J368" s="89">
        <f>J367*D368</f>
        <v>19.306000000000001</v>
      </c>
      <c r="K368" s="127"/>
      <c r="L368" s="127"/>
      <c r="M368" s="127"/>
      <c r="N368" s="29"/>
      <c r="O368" s="29"/>
      <c r="P368" s="86">
        <f>VLOOKUP(B368,'Форма КП'!$B$25:$G$47,5,FALSE)</f>
        <v>0</v>
      </c>
      <c r="Q368" s="86">
        <f t="shared" ref="Q368:Q371" si="151">P368*F368</f>
        <v>0</v>
      </c>
      <c r="R368" s="32">
        <f t="shared" ref="R368:R371" si="152">P368</f>
        <v>0</v>
      </c>
      <c r="S368" s="32">
        <f t="shared" ref="S368:S371" si="153">P368*F368</f>
        <v>0</v>
      </c>
    </row>
    <row r="369" spans="1:19" x14ac:dyDescent="0.25">
      <c r="A369" s="120" t="s">
        <v>514</v>
      </c>
      <c r="B369" s="116" t="s">
        <v>268</v>
      </c>
      <c r="C369" s="121" t="s">
        <v>269</v>
      </c>
      <c r="D369" s="91">
        <v>7.3440000000000005E-2</v>
      </c>
      <c r="E369" s="120" t="s">
        <v>231</v>
      </c>
      <c r="F369" s="123">
        <f t="shared" si="148"/>
        <v>87.47</v>
      </c>
      <c r="G369" s="88">
        <f>G367*D369</f>
        <v>22.22</v>
      </c>
      <c r="H369" s="88">
        <f>H367*D369</f>
        <v>21.04</v>
      </c>
      <c r="I369" s="88">
        <f>I367*D369</f>
        <v>21.04</v>
      </c>
      <c r="J369" s="88">
        <f>J367*D369</f>
        <v>23.17</v>
      </c>
      <c r="K369" s="127"/>
      <c r="L369" s="127"/>
      <c r="M369" s="127"/>
      <c r="N369" s="29"/>
      <c r="O369" s="29"/>
      <c r="P369" s="86">
        <f>VLOOKUP(B369,'Форма КП'!$B$25:$G$47,5,FALSE)</f>
        <v>0</v>
      </c>
      <c r="Q369" s="86">
        <f t="shared" si="151"/>
        <v>0</v>
      </c>
      <c r="R369" s="32">
        <f t="shared" si="152"/>
        <v>0</v>
      </c>
      <c r="S369" s="32">
        <f t="shared" si="153"/>
        <v>0</v>
      </c>
    </row>
    <row r="370" spans="1:19" ht="36" x14ac:dyDescent="0.25">
      <c r="A370" s="120" t="s">
        <v>515</v>
      </c>
      <c r="B370" s="116" t="s">
        <v>270</v>
      </c>
      <c r="C370" s="121" t="s">
        <v>271</v>
      </c>
      <c r="D370" s="91" t="s">
        <v>518</v>
      </c>
      <c r="E370" s="120" t="s">
        <v>6</v>
      </c>
      <c r="F370" s="123">
        <f t="shared" si="148"/>
        <v>1206.3699999999999</v>
      </c>
      <c r="G370" s="88">
        <f>290*1.1</f>
        <v>319</v>
      </c>
      <c r="H370" s="88">
        <f>256.7*1.1</f>
        <v>282.37</v>
      </c>
      <c r="I370" s="88">
        <f>256.7*1.1</f>
        <v>282.37</v>
      </c>
      <c r="J370" s="88">
        <f>293.3*1.1</f>
        <v>322.63</v>
      </c>
      <c r="K370" s="127"/>
      <c r="L370" s="127"/>
      <c r="M370" s="127"/>
      <c r="N370" s="29"/>
      <c r="O370" s="29"/>
      <c r="P370" s="86">
        <f>VLOOKUP(B370,'Форма КП'!$B$25:$G$47,5,FALSE)</f>
        <v>0</v>
      </c>
      <c r="Q370" s="86">
        <f t="shared" si="151"/>
        <v>0</v>
      </c>
      <c r="R370" s="32">
        <f t="shared" si="152"/>
        <v>0</v>
      </c>
      <c r="S370" s="32">
        <f t="shared" si="153"/>
        <v>0</v>
      </c>
    </row>
    <row r="371" spans="1:19" x14ac:dyDescent="0.25">
      <c r="A371" s="120" t="s">
        <v>516</v>
      </c>
      <c r="B371" s="116" t="s">
        <v>272</v>
      </c>
      <c r="C371" s="121" t="s">
        <v>273</v>
      </c>
      <c r="D371" s="91">
        <v>1.1499999999999999</v>
      </c>
      <c r="E371" s="120" t="s">
        <v>225</v>
      </c>
      <c r="F371" s="123">
        <f t="shared" si="148"/>
        <v>1155.55</v>
      </c>
      <c r="G371" s="88">
        <f>(G367-G362)*D371</f>
        <v>295.73</v>
      </c>
      <c r="H371" s="88">
        <f>(H367-H362)*D371</f>
        <v>276.05</v>
      </c>
      <c r="I371" s="88">
        <f>(I367-I362)*D371</f>
        <v>276.05</v>
      </c>
      <c r="J371" s="88">
        <f>(J367-J362)*D371</f>
        <v>307.72000000000003</v>
      </c>
      <c r="K371" s="127"/>
      <c r="L371" s="127"/>
      <c r="M371" s="127"/>
      <c r="N371" s="29"/>
      <c r="O371" s="29"/>
      <c r="P371" s="86">
        <f>VLOOKUP(B371,'Форма КП'!$B$25:$G$47,5,FALSE)</f>
        <v>0</v>
      </c>
      <c r="Q371" s="86">
        <f t="shared" si="151"/>
        <v>0</v>
      </c>
      <c r="R371" s="32">
        <f t="shared" si="152"/>
        <v>0</v>
      </c>
      <c r="S371" s="32">
        <f t="shared" si="153"/>
        <v>0</v>
      </c>
    </row>
    <row r="372" spans="1:19" x14ac:dyDescent="0.25">
      <c r="A372" s="193" t="s">
        <v>22</v>
      </c>
      <c r="B372" s="194"/>
      <c r="C372" s="194"/>
      <c r="D372" s="194"/>
      <c r="E372" s="194"/>
      <c r="F372" s="194"/>
      <c r="G372" s="194"/>
      <c r="H372" s="194"/>
      <c r="I372" s="194"/>
      <c r="J372" s="194"/>
      <c r="K372" s="194"/>
      <c r="L372" s="194"/>
      <c r="M372" s="194"/>
      <c r="N372" s="194"/>
      <c r="O372" s="194"/>
      <c r="P372" s="194"/>
      <c r="Q372" s="194"/>
      <c r="R372" s="195"/>
      <c r="S372" s="12">
        <f>SUM(S17:S371)</f>
        <v>0</v>
      </c>
    </row>
    <row r="373" spans="1:19" x14ac:dyDescent="0.25">
      <c r="A373" s="210" t="s">
        <v>24</v>
      </c>
      <c r="B373" s="211"/>
      <c r="C373" s="211"/>
      <c r="D373" s="211"/>
      <c r="E373" s="211"/>
      <c r="F373" s="211"/>
      <c r="G373" s="211"/>
      <c r="H373" s="211"/>
      <c r="I373" s="211"/>
      <c r="J373" s="211"/>
      <c r="K373" s="211"/>
      <c r="L373" s="211"/>
      <c r="M373" s="211"/>
      <c r="N373" s="211"/>
      <c r="O373" s="211"/>
      <c r="P373" s="211"/>
      <c r="Q373" s="211"/>
      <c r="R373" s="212"/>
      <c r="S373" s="13">
        <f>SUM(O17:O371)</f>
        <v>0</v>
      </c>
    </row>
    <row r="374" spans="1:19" x14ac:dyDescent="0.25">
      <c r="A374" s="210" t="s">
        <v>25</v>
      </c>
      <c r="B374" s="211"/>
      <c r="C374" s="211"/>
      <c r="D374" s="211"/>
      <c r="E374" s="211"/>
      <c r="F374" s="211"/>
      <c r="G374" s="211"/>
      <c r="H374" s="211"/>
      <c r="I374" s="211"/>
      <c r="J374" s="211"/>
      <c r="K374" s="211"/>
      <c r="L374" s="211"/>
      <c r="M374" s="211"/>
      <c r="N374" s="211"/>
      <c r="O374" s="211"/>
      <c r="P374" s="211"/>
      <c r="Q374" s="211"/>
      <c r="R374" s="212"/>
      <c r="S374" s="13">
        <f>SUM(Q17:Q371)</f>
        <v>0</v>
      </c>
    </row>
    <row r="375" spans="1:19" x14ac:dyDescent="0.25">
      <c r="A375" s="207" t="s">
        <v>21</v>
      </c>
      <c r="B375" s="208"/>
      <c r="C375" s="208"/>
      <c r="D375" s="208"/>
      <c r="E375" s="208"/>
      <c r="F375" s="208"/>
      <c r="G375" s="208"/>
      <c r="H375" s="208"/>
      <c r="I375" s="208"/>
      <c r="J375" s="208"/>
      <c r="K375" s="208"/>
      <c r="L375" s="208"/>
      <c r="M375" s="208"/>
      <c r="N375" s="208"/>
      <c r="O375" s="208"/>
      <c r="P375" s="208"/>
      <c r="Q375" s="208"/>
      <c r="R375" s="209"/>
      <c r="S375" s="12">
        <f>IF('Форма КП'!E57&lt;20%,S374*0.2,0)</f>
        <v>0</v>
      </c>
    </row>
    <row r="376" spans="1:19" x14ac:dyDescent="0.25">
      <c r="A376" s="193" t="str">
        <f>IF('Форма КП'!E57=0,"Без НДС в связи с применением УСН","НДС " &amp; TEXT('Форма КП'!E57,"0%"))</f>
        <v>Без НДС в связи с применением УСН</v>
      </c>
      <c r="B376" s="194"/>
      <c r="C376" s="194"/>
      <c r="D376" s="194"/>
      <c r="E376" s="194"/>
      <c r="F376" s="194"/>
      <c r="G376" s="194"/>
      <c r="H376" s="194"/>
      <c r="I376" s="194"/>
      <c r="J376" s="194"/>
      <c r="K376" s="194"/>
      <c r="L376" s="194"/>
      <c r="M376" s="194"/>
      <c r="N376" s="194"/>
      <c r="O376" s="194"/>
      <c r="P376" s="194"/>
      <c r="Q376" s="194"/>
      <c r="R376" s="195"/>
      <c r="S376" s="12">
        <f>SUM(S373:S375)*'Форма КП'!E57</f>
        <v>0</v>
      </c>
    </row>
    <row r="377" spans="1:19" x14ac:dyDescent="0.25">
      <c r="A377" s="193" t="s">
        <v>22</v>
      </c>
      <c r="B377" s="194"/>
      <c r="C377" s="194"/>
      <c r="D377" s="194"/>
      <c r="E377" s="194"/>
      <c r="F377" s="194"/>
      <c r="G377" s="194"/>
      <c r="H377" s="194"/>
      <c r="I377" s="194"/>
      <c r="J377" s="194"/>
      <c r="K377" s="194"/>
      <c r="L377" s="194"/>
      <c r="M377" s="194"/>
      <c r="N377" s="194"/>
      <c r="O377" s="194"/>
      <c r="P377" s="194"/>
      <c r="Q377" s="194"/>
      <c r="R377" s="195"/>
      <c r="S377" s="12">
        <f>S372+S375+S376</f>
        <v>0</v>
      </c>
    </row>
  </sheetData>
  <sheetProtection algorithmName="SHA-512" hashValue="hkBYP3/ffHK6rAZNj4dt4USbdHkm9Vcw5QkIAoDocu7FDOH52lpturVy0z0j3CQesLA4KCAnGkf5R0P47ufVnQ==" saltValue="7SFRb2NwX9AAR2mpHyydiQ==" spinCount="100000" sheet="1" objects="1" scenarios="1"/>
  <protectedRanges>
    <protectedRange sqref="A2:B7 A375:S376" name="Диапазон1"/>
  </protectedRanges>
  <autoFilter ref="A14:S377" xr:uid="{42046CDE-82AB-4DBE-B472-CB9E54D5A036}">
    <filterColumn colId="13" showButton="0"/>
    <filterColumn colId="14" showButton="0"/>
    <filterColumn colId="15" showButton="0"/>
    <filterColumn colId="17" showButton="0"/>
  </autoFilter>
  <mergeCells count="34">
    <mergeCell ref="A375:R375"/>
    <mergeCell ref="A373:R373"/>
    <mergeCell ref="A374:R374"/>
    <mergeCell ref="A376:R376"/>
    <mergeCell ref="A377:R377"/>
    <mergeCell ref="A372:R372"/>
    <mergeCell ref="N14:Q14"/>
    <mergeCell ref="R14:S14"/>
    <mergeCell ref="O15:O16"/>
    <mergeCell ref="P15:P16"/>
    <mergeCell ref="Q15:Q16"/>
    <mergeCell ref="R15:R16"/>
    <mergeCell ref="S15:S16"/>
    <mergeCell ref="A14:A16"/>
    <mergeCell ref="B14:B16"/>
    <mergeCell ref="C14:C16"/>
    <mergeCell ref="E14:E16"/>
    <mergeCell ref="F14:F16"/>
    <mergeCell ref="N15:N16"/>
    <mergeCell ref="G14:G16"/>
    <mergeCell ref="H14:H16"/>
    <mergeCell ref="M14:M16"/>
    <mergeCell ref="A11:S11"/>
    <mergeCell ref="A12:S12"/>
    <mergeCell ref="A2:B2"/>
    <mergeCell ref="A3:B3"/>
    <mergeCell ref="A4:B4"/>
    <mergeCell ref="A5:B5"/>
    <mergeCell ref="A10:S10"/>
    <mergeCell ref="D14:D16"/>
    <mergeCell ref="I14:I16"/>
    <mergeCell ref="J14:J16"/>
    <mergeCell ref="K14:K16"/>
    <mergeCell ref="L14:L16"/>
  </mergeCells>
  <phoneticPr fontId="2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F7F83-24D2-4690-8D30-FBE5F45EEF2C}">
  <dimension ref="A1:E19"/>
  <sheetViews>
    <sheetView view="pageBreakPreview" zoomScaleNormal="100" zoomScaleSheetLayoutView="100" workbookViewId="0">
      <selection activeCell="B3" sqref="B3:E3"/>
    </sheetView>
  </sheetViews>
  <sheetFormatPr defaultRowHeight="15" x14ac:dyDescent="0.25"/>
  <cols>
    <col min="2" max="2" width="4.42578125" bestFit="1" customWidth="1"/>
    <col min="3" max="3" width="66.7109375" customWidth="1"/>
    <col min="4" max="4" width="12.85546875" customWidth="1"/>
    <col min="5" max="5" width="17.7109375" customWidth="1"/>
  </cols>
  <sheetData>
    <row r="1" spans="1:5" ht="15.75" x14ac:dyDescent="0.25">
      <c r="A1" s="6"/>
      <c r="B1" s="6"/>
      <c r="C1" s="6"/>
      <c r="D1" s="6"/>
      <c r="E1" s="6"/>
    </row>
    <row r="2" spans="1:5" ht="15.75" x14ac:dyDescent="0.25">
      <c r="A2" s="6"/>
      <c r="B2" s="6"/>
      <c r="C2" s="6"/>
      <c r="D2" s="6"/>
      <c r="E2" s="6"/>
    </row>
    <row r="3" spans="1:5" ht="15.75" x14ac:dyDescent="0.25">
      <c r="A3" s="6"/>
      <c r="B3" s="213" t="s">
        <v>68</v>
      </c>
      <c r="C3" s="213"/>
      <c r="D3" s="213"/>
      <c r="E3" s="213"/>
    </row>
    <row r="4" spans="1:5" ht="15.75" x14ac:dyDescent="0.25">
      <c r="A4" s="6"/>
      <c r="B4" s="6"/>
      <c r="C4" s="6"/>
      <c r="D4" s="6"/>
      <c r="E4" s="6"/>
    </row>
    <row r="5" spans="1:5" ht="15.75" x14ac:dyDescent="0.25">
      <c r="A5" s="6"/>
      <c r="B5" s="2" t="s">
        <v>69</v>
      </c>
      <c r="C5" s="2" t="s">
        <v>70</v>
      </c>
      <c r="D5" s="2" t="s">
        <v>71</v>
      </c>
      <c r="E5" s="2" t="s">
        <v>15</v>
      </c>
    </row>
    <row r="6" spans="1:5" ht="15.75" x14ac:dyDescent="0.25">
      <c r="B6" s="2">
        <v>1</v>
      </c>
      <c r="C6" s="4" t="str">
        <f>'Форма КП'!C25</f>
        <v>Керамогранит</v>
      </c>
      <c r="D6" s="25" t="str">
        <f>'Форма КП'!D25</f>
        <v>м2</v>
      </c>
      <c r="E6" s="80">
        <f>'Форма КП'!E25</f>
        <v>389.56</v>
      </c>
    </row>
    <row r="7" spans="1:5" ht="15.75" x14ac:dyDescent="0.25">
      <c r="B7" s="2">
        <v>2</v>
      </c>
      <c r="C7" s="4" t="str">
        <f>'Форма КП'!C26</f>
        <v>Керамогранит Гранитея Сугумок бежевый матовый 60х60</v>
      </c>
      <c r="D7" s="25" t="str">
        <f>'Форма КП'!D26</f>
        <v>м2</v>
      </c>
      <c r="E7" s="80">
        <f>'Форма КП'!E26</f>
        <v>31.17</v>
      </c>
    </row>
    <row r="8" spans="1:5" ht="15.75" x14ac:dyDescent="0.25">
      <c r="B8" s="2">
        <v>3</v>
      </c>
      <c r="C8" s="4" t="str">
        <f>'Форма КП'!C27</f>
        <v>Пенотерм 6 мм</v>
      </c>
      <c r="D8" s="25" t="str">
        <f>'Форма КП'!D27</f>
        <v>м2</v>
      </c>
      <c r="E8" s="80">
        <f>'Форма КП'!E27</f>
        <v>22870.880000000001</v>
      </c>
    </row>
    <row r="9" spans="1:5" ht="15.75" x14ac:dyDescent="0.25">
      <c r="B9" s="2">
        <v>4</v>
      </c>
      <c r="C9" s="4" t="str">
        <f>'Форма КП'!C29</f>
        <v>Плинтус керамогранитный 600х600 Italon Millenium Black</v>
      </c>
      <c r="D9" s="25" t="str">
        <f>'Форма КП'!D29</f>
        <v>м2</v>
      </c>
      <c r="E9" s="80">
        <f>'Форма КП'!E29</f>
        <v>447.3</v>
      </c>
    </row>
    <row r="10" spans="1:5" ht="15.75" x14ac:dyDescent="0.25">
      <c r="B10" s="2">
        <v>5</v>
      </c>
      <c r="C10" s="4" t="str">
        <f>'Форма КП'!C30</f>
        <v>Плитка керамогранитная 600х600 Italon Millenium Black</v>
      </c>
      <c r="D10" s="25" t="str">
        <f>'Форма КП'!D30</f>
        <v>м2</v>
      </c>
      <c r="E10" s="80">
        <f>'Форма КП'!E30</f>
        <v>4088.93</v>
      </c>
    </row>
    <row r="11" spans="1:5" ht="15.75" x14ac:dyDescent="0.25">
      <c r="B11" s="2">
        <v>6</v>
      </c>
      <c r="C11" s="4" t="str">
        <f>'Форма КП'!C31</f>
        <v>Сетка малярная 70г интерьерная 5х5</v>
      </c>
      <c r="D11" s="25" t="str">
        <f>'Форма КП'!D31</f>
        <v>м2</v>
      </c>
      <c r="E11" s="80">
        <f>'Форма КП'!E31</f>
        <v>1488.97</v>
      </c>
    </row>
    <row r="12" spans="1:5" ht="15.75" x14ac:dyDescent="0.25">
      <c r="B12" s="2">
        <v>7</v>
      </c>
      <c r="C12" s="4" t="str">
        <f>'Форма КП'!C32</f>
        <v>Сити Слим резина + текстиль + скребок</v>
      </c>
      <c r="D12" s="25" t="str">
        <f>'Форма КП'!D32</f>
        <v>м2</v>
      </c>
      <c r="E12" s="80">
        <f>'Форма КП'!E32</f>
        <v>39.42</v>
      </c>
    </row>
    <row r="13" spans="1:5" ht="15.75" x14ac:dyDescent="0.25">
      <c r="B13" s="2">
        <v>8</v>
      </c>
      <c r="C13" s="4" t="str">
        <f>'Форма КП'!C33</f>
        <v>Гидроизоляция "Кальматрон-Акриласт"</v>
      </c>
      <c r="D13" s="25" t="str">
        <f>'Форма КП'!D33</f>
        <v>кг</v>
      </c>
      <c r="E13" s="80">
        <f>'Форма КП'!E33</f>
        <v>18503.900000000001</v>
      </c>
    </row>
    <row r="14" spans="1:5" ht="15.75" x14ac:dyDescent="0.25">
      <c r="B14" s="2">
        <v>9</v>
      </c>
      <c r="C14" s="4" t="str">
        <f>'Форма КП'!C34</f>
        <v>Грунтовка глубокого проникновения</v>
      </c>
      <c r="D14" s="25" t="str">
        <f>'Форма КП'!D34</f>
        <v>кг</v>
      </c>
      <c r="E14" s="80">
        <f>'Форма КП'!E34</f>
        <v>61.16</v>
      </c>
    </row>
    <row r="15" spans="1:5" ht="15.75" x14ac:dyDescent="0.25">
      <c r="B15" s="2">
        <v>10</v>
      </c>
      <c r="C15" s="4" t="str">
        <f>'Форма КП'!C35</f>
        <v>Затирка цементная</v>
      </c>
      <c r="D15" s="25" t="str">
        <f>'Форма КП'!D35</f>
        <v>кг</v>
      </c>
      <c r="E15" s="80">
        <f>'Форма КП'!E35</f>
        <v>940.26</v>
      </c>
    </row>
    <row r="16" spans="1:5" ht="15.75" x14ac:dyDescent="0.25">
      <c r="B16" s="2">
        <v>11</v>
      </c>
      <c r="C16" s="4" t="str">
        <f>'Форма КП'!C36</f>
        <v>Клей плиточный</v>
      </c>
      <c r="D16" s="25" t="str">
        <f>'Форма КП'!D36</f>
        <v>кг</v>
      </c>
      <c r="E16" s="80">
        <f>'Форма КП'!E36</f>
        <v>37612.629999999997</v>
      </c>
    </row>
    <row r="17" spans="2:5" ht="15.75" x14ac:dyDescent="0.25">
      <c r="B17" s="2">
        <v>12</v>
      </c>
      <c r="C17" s="4" t="str">
        <f>'Форма КП'!C39</f>
        <v>Растворитель Р-4</v>
      </c>
      <c r="D17" s="25" t="str">
        <f>'Форма КП'!D39</f>
        <v>кг</v>
      </c>
      <c r="E17" s="80">
        <f>'Форма КП'!E39</f>
        <v>17.170000000000002</v>
      </c>
    </row>
    <row r="18" spans="2:5" ht="31.5" x14ac:dyDescent="0.25">
      <c r="B18" s="2">
        <v>13</v>
      </c>
      <c r="C18" s="4" t="str">
        <f>'Форма КП'!C42</f>
        <v>Цветной эпоксидный состав для устройства промышленных полимерных покрытий Cleanpoxy DHDC 6200</v>
      </c>
      <c r="D18" s="25" t="str">
        <f>'Форма КП'!D42</f>
        <v>кг</v>
      </c>
      <c r="E18" s="80">
        <f>'Форма КП'!E42</f>
        <v>326.17</v>
      </c>
    </row>
    <row r="19" spans="2:5" ht="15.75" x14ac:dyDescent="0.25">
      <c r="B19" s="2">
        <v>14</v>
      </c>
      <c r="C19" s="4" t="str">
        <f>'Форма КП'!C45</f>
        <v>Грунтовка глубокого проникновения</v>
      </c>
      <c r="D19" s="25" t="str">
        <f>'Форма КП'!D45</f>
        <v>л</v>
      </c>
      <c r="E19" s="80">
        <f>'Форма КП'!E45</f>
        <v>644.35</v>
      </c>
    </row>
  </sheetData>
  <sheetProtection algorithmName="SHA-512" hashValue="/A1lVd1R416Iqws/lXlUkMRdOkY8J7aIFVPT4sy59B/ann/TANhv/wsNIX7dizd53RwxHK+7JGw54UXxBE/99Q==" saltValue="Z5jbfXFhC2cW1HxHupEbBQ==" spinCount="100000" sheet="1" objects="1" scenarios="1"/>
  <mergeCells count="1">
    <mergeCell ref="B3:E3"/>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E52A3-896F-4ECB-8B14-DC56680BDD3E}">
  <sheetPr>
    <tabColor theme="4" tint="0.79998168889431442"/>
  </sheetPr>
  <dimension ref="A1:NE30"/>
  <sheetViews>
    <sheetView workbookViewId="0">
      <selection activeCell="B6" sqref="B6"/>
    </sheetView>
  </sheetViews>
  <sheetFormatPr defaultRowHeight="15" x14ac:dyDescent="0.25"/>
  <cols>
    <col min="1" max="1" width="5.140625" bestFit="1" customWidth="1"/>
    <col min="2" max="2" width="60.28515625" bestFit="1" customWidth="1"/>
    <col min="3" max="4" width="11.7109375" customWidth="1"/>
    <col min="5" max="369" width="1.42578125" customWidth="1"/>
  </cols>
  <sheetData>
    <row r="1" spans="1:369" ht="15.75" thickBot="1" x14ac:dyDescent="0.3">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c r="AX1" s="51"/>
      <c r="AY1" s="51"/>
      <c r="AZ1" s="51"/>
      <c r="BA1" s="51"/>
      <c r="BB1" s="51"/>
      <c r="BC1" s="51"/>
      <c r="BD1" s="51"/>
      <c r="BE1" s="51"/>
      <c r="BF1" s="51"/>
      <c r="BG1" s="51"/>
      <c r="BH1" s="51"/>
      <c r="BI1" s="51"/>
      <c r="BJ1" s="51"/>
      <c r="BK1" s="51"/>
      <c r="BL1" s="51"/>
      <c r="BM1" s="51"/>
      <c r="BN1" s="51"/>
      <c r="BO1" s="51"/>
      <c r="BP1" s="51"/>
      <c r="BQ1" s="51"/>
      <c r="BR1" s="51"/>
      <c r="BS1" s="51"/>
      <c r="BT1" s="51"/>
      <c r="BU1" s="51"/>
      <c r="BV1" s="51"/>
      <c r="BW1" s="51"/>
      <c r="BX1" s="51"/>
      <c r="BY1" s="51"/>
      <c r="BZ1" s="51"/>
      <c r="CA1" s="51"/>
      <c r="CB1" s="51"/>
      <c r="CC1" s="51"/>
      <c r="CD1" s="51"/>
      <c r="CE1" s="51"/>
      <c r="CF1" s="51"/>
      <c r="CG1" s="51"/>
      <c r="CH1" s="51"/>
      <c r="CI1" s="51"/>
      <c r="CJ1" s="51"/>
      <c r="CK1" s="51"/>
      <c r="CL1" s="51"/>
      <c r="CM1" s="51"/>
      <c r="CN1" s="51"/>
      <c r="CO1" s="51"/>
      <c r="CP1" s="51"/>
      <c r="CQ1" s="51"/>
      <c r="CR1" s="51"/>
      <c r="CS1" s="51"/>
      <c r="CT1" s="51"/>
      <c r="CU1" s="51"/>
      <c r="CV1" s="51"/>
      <c r="CW1" s="51"/>
      <c r="CX1" s="51"/>
      <c r="CY1" s="51"/>
      <c r="CZ1" s="51"/>
      <c r="DA1" s="51"/>
      <c r="DB1" s="51"/>
      <c r="DC1" s="51"/>
      <c r="DD1" s="51"/>
      <c r="DE1" s="51"/>
      <c r="DF1" s="51"/>
      <c r="DG1" s="51"/>
      <c r="DH1" s="51"/>
      <c r="DI1" s="51"/>
      <c r="DJ1" s="51"/>
      <c r="DK1" s="51"/>
      <c r="DL1" s="51"/>
      <c r="DM1" s="51"/>
      <c r="DN1" s="51"/>
      <c r="DO1" s="51"/>
      <c r="DP1" s="51"/>
      <c r="DQ1" s="51"/>
      <c r="DR1" s="51"/>
      <c r="DS1" s="51"/>
      <c r="DT1" s="51"/>
      <c r="DU1" s="51"/>
      <c r="DV1" s="51"/>
      <c r="DW1" s="51"/>
      <c r="DX1" s="51"/>
      <c r="DY1" s="51"/>
      <c r="DZ1" s="51"/>
      <c r="EA1" s="51"/>
      <c r="EB1" s="51"/>
      <c r="EC1" s="51"/>
      <c r="ED1" s="51"/>
      <c r="EE1" s="51"/>
      <c r="EF1" s="51"/>
      <c r="EG1" s="51"/>
      <c r="EH1" s="51"/>
      <c r="EI1" s="51"/>
      <c r="EJ1" s="51"/>
      <c r="EK1" s="51"/>
      <c r="EL1" s="51"/>
      <c r="EM1" s="51"/>
      <c r="EN1" s="51"/>
      <c r="EO1" s="51"/>
      <c r="EP1" s="51"/>
      <c r="EQ1" s="51"/>
      <c r="ER1" s="51"/>
      <c r="ES1" s="51"/>
      <c r="ET1" s="51"/>
      <c r="EU1" s="51"/>
      <c r="EV1" s="51"/>
      <c r="EW1" s="51"/>
      <c r="EX1" s="51"/>
      <c r="EY1" s="51"/>
      <c r="EZ1" s="51"/>
      <c r="FA1" s="51"/>
      <c r="FB1" s="51"/>
      <c r="FC1" s="51"/>
      <c r="FD1" s="51"/>
      <c r="FE1" s="51"/>
      <c r="FF1" s="51"/>
      <c r="FG1" s="51"/>
      <c r="FH1" s="51"/>
      <c r="FI1" s="51"/>
      <c r="FJ1" s="51"/>
      <c r="FK1" s="51"/>
      <c r="FL1" s="51"/>
      <c r="FM1" s="51"/>
      <c r="FN1" s="51"/>
      <c r="FO1" s="51"/>
      <c r="FP1" s="51"/>
      <c r="FQ1" s="51"/>
      <c r="FR1" s="51"/>
      <c r="FS1" s="51"/>
      <c r="FT1" s="51"/>
      <c r="FU1" s="51"/>
      <c r="FV1" s="51"/>
      <c r="FW1" s="51"/>
      <c r="FX1" s="51"/>
      <c r="FY1" s="51"/>
      <c r="FZ1" s="51"/>
      <c r="GA1" s="51"/>
      <c r="GB1" s="51"/>
      <c r="GC1" s="51"/>
      <c r="GD1" s="51"/>
      <c r="GE1" s="51"/>
      <c r="GF1" s="51"/>
      <c r="GG1" s="51"/>
      <c r="GH1" s="51"/>
      <c r="GI1" s="51"/>
      <c r="GJ1" s="51"/>
      <c r="GK1" s="51"/>
      <c r="GL1" s="51"/>
      <c r="GM1" s="51"/>
      <c r="GN1" s="51"/>
      <c r="GO1" s="51"/>
      <c r="GP1" s="51"/>
      <c r="GQ1" s="51"/>
      <c r="GR1" s="51"/>
      <c r="GS1" s="51"/>
      <c r="GT1" s="51"/>
      <c r="GU1" s="51"/>
      <c r="GV1" s="51"/>
      <c r="GW1" s="51"/>
      <c r="GX1" s="51"/>
      <c r="GY1" s="51"/>
      <c r="GZ1" s="51"/>
      <c r="HA1" s="51"/>
      <c r="HB1" s="51"/>
      <c r="HC1" s="51"/>
      <c r="HD1" s="51"/>
      <c r="HE1" s="51"/>
      <c r="HF1" s="51"/>
      <c r="HG1" s="51"/>
      <c r="HH1" s="51"/>
      <c r="HI1" s="51"/>
      <c r="HJ1" s="51"/>
      <c r="HK1" s="51"/>
      <c r="HL1" s="51"/>
      <c r="HM1" s="51"/>
      <c r="HN1" s="51"/>
      <c r="HO1" s="51"/>
      <c r="HP1" s="51"/>
      <c r="HQ1" s="51"/>
      <c r="HR1" s="51"/>
      <c r="HS1" s="51"/>
      <c r="HT1" s="51"/>
      <c r="HU1" s="51"/>
      <c r="HV1" s="51"/>
      <c r="HW1" s="51"/>
      <c r="HX1" s="51"/>
      <c r="HY1" s="51"/>
      <c r="HZ1" s="51"/>
      <c r="IA1" s="51"/>
      <c r="IB1" s="51"/>
      <c r="IC1" s="51"/>
      <c r="ID1" s="51"/>
      <c r="IE1" s="51"/>
      <c r="IF1" s="51"/>
      <c r="IG1" s="51"/>
      <c r="IH1" s="51"/>
      <c r="II1" s="51"/>
      <c r="IJ1" s="51"/>
      <c r="IK1" s="51"/>
      <c r="IL1" s="51"/>
      <c r="IM1" s="51"/>
      <c r="IN1" s="51"/>
      <c r="IO1" s="51"/>
      <c r="IP1" s="51"/>
      <c r="IQ1" s="51"/>
      <c r="IR1" s="51"/>
      <c r="IS1" s="51"/>
      <c r="IT1" s="51"/>
      <c r="IU1" s="51"/>
      <c r="IV1" s="51"/>
      <c r="IW1" s="51"/>
      <c r="IX1" s="51"/>
      <c r="IY1" s="51"/>
      <c r="IZ1" s="51"/>
      <c r="JA1" s="51"/>
      <c r="JB1" s="51"/>
      <c r="JC1" s="51"/>
      <c r="JD1" s="51"/>
      <c r="JE1" s="51"/>
      <c r="JF1" s="51"/>
      <c r="JG1" s="51"/>
      <c r="JH1" s="51"/>
      <c r="JI1" s="51"/>
      <c r="JJ1" s="51"/>
      <c r="JK1" s="51"/>
      <c r="JL1" s="51"/>
      <c r="JM1" s="51"/>
      <c r="JN1" s="51"/>
      <c r="JO1" s="51"/>
      <c r="JP1" s="51"/>
      <c r="JQ1" s="51"/>
      <c r="JR1" s="51"/>
      <c r="JS1" s="51"/>
      <c r="JT1" s="51"/>
      <c r="JU1" s="51"/>
      <c r="JV1" s="51"/>
      <c r="JW1" s="51"/>
      <c r="JX1" s="51"/>
      <c r="JY1" s="51"/>
      <c r="JZ1" s="51"/>
      <c r="KA1" s="51"/>
      <c r="KB1" s="51"/>
      <c r="KC1" s="51"/>
      <c r="KD1" s="51"/>
      <c r="KE1" s="51"/>
      <c r="KF1" s="51"/>
      <c r="KG1" s="51"/>
      <c r="KH1" s="51"/>
      <c r="KI1" s="51"/>
      <c r="KJ1" s="51"/>
      <c r="KK1" s="51"/>
      <c r="KL1" s="51"/>
      <c r="KM1" s="51"/>
      <c r="KN1" s="51"/>
      <c r="KO1" s="51"/>
      <c r="KP1" s="51"/>
      <c r="KQ1" s="51"/>
      <c r="KR1" s="51"/>
      <c r="KS1" s="51"/>
      <c r="KT1" s="51"/>
      <c r="KU1" s="51"/>
      <c r="KV1" s="51"/>
      <c r="KW1" s="51"/>
      <c r="KX1" s="51"/>
      <c r="KY1" s="51"/>
      <c r="KZ1" s="51"/>
      <c r="LA1" s="51"/>
      <c r="LB1" s="51"/>
      <c r="LC1" s="51"/>
      <c r="LD1" s="51"/>
      <c r="LE1" s="51"/>
      <c r="LF1" s="51"/>
      <c r="LG1" s="51"/>
      <c r="LH1" s="51"/>
      <c r="LI1" s="51"/>
      <c r="LJ1" s="51"/>
      <c r="LK1" s="51"/>
      <c r="LL1" s="51"/>
      <c r="LM1" s="51"/>
      <c r="LN1" s="51"/>
      <c r="LO1" s="51"/>
      <c r="LP1" s="51"/>
      <c r="LQ1" s="51"/>
      <c r="LR1" s="51"/>
      <c r="LS1" s="51"/>
      <c r="LT1" s="51"/>
      <c r="LU1" s="51"/>
      <c r="LV1" s="51"/>
      <c r="LW1" s="51"/>
      <c r="LX1" s="51"/>
      <c r="LY1" s="51"/>
      <c r="LZ1" s="51"/>
      <c r="MA1" s="51"/>
      <c r="MB1" s="51"/>
      <c r="MC1" s="51"/>
      <c r="MD1" s="51"/>
      <c r="ME1" s="51"/>
      <c r="MF1" s="51"/>
      <c r="MG1" s="51"/>
      <c r="MH1" s="51"/>
      <c r="MI1" s="51"/>
      <c r="MJ1" s="51"/>
      <c r="MK1" s="51"/>
      <c r="ML1" s="51"/>
      <c r="MM1" s="51"/>
      <c r="MN1" s="51"/>
      <c r="MO1" s="51"/>
      <c r="MP1" s="51"/>
      <c r="MQ1" s="51"/>
      <c r="MR1" s="51"/>
      <c r="MS1" s="51"/>
      <c r="MT1" s="51"/>
      <c r="MU1" s="51"/>
      <c r="MV1" s="51"/>
      <c r="MW1" s="51"/>
      <c r="MX1" s="51"/>
      <c r="MY1" s="51"/>
      <c r="MZ1" s="51"/>
      <c r="NA1" s="51"/>
      <c r="NB1" s="51"/>
      <c r="NC1" s="51"/>
      <c r="ND1" s="51"/>
      <c r="NE1" s="51"/>
    </row>
    <row r="2" spans="1:369" ht="15.75" thickBot="1" x14ac:dyDescent="0.3">
      <c r="A2" s="214" t="s">
        <v>189</v>
      </c>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c r="AM2" s="215"/>
      <c r="AN2" s="215"/>
      <c r="AO2" s="215"/>
      <c r="AP2" s="215"/>
      <c r="AQ2" s="215"/>
      <c r="AR2" s="215"/>
      <c r="AS2" s="215"/>
      <c r="AT2" s="215"/>
      <c r="AU2" s="215"/>
      <c r="AV2" s="215"/>
      <c r="AW2" s="215"/>
      <c r="AX2" s="215"/>
      <c r="AY2" s="215"/>
      <c r="AZ2" s="215"/>
      <c r="BA2" s="215"/>
      <c r="BB2" s="215"/>
      <c r="BC2" s="215"/>
      <c r="BD2" s="215"/>
      <c r="BE2" s="215"/>
      <c r="BF2" s="215"/>
      <c r="BG2" s="215"/>
      <c r="BH2" s="215"/>
      <c r="BI2" s="215"/>
      <c r="BJ2" s="215"/>
      <c r="BK2" s="215"/>
      <c r="BL2" s="215"/>
      <c r="BM2" s="215"/>
      <c r="BN2" s="215"/>
      <c r="BO2" s="215"/>
      <c r="BP2" s="215"/>
      <c r="BQ2" s="215"/>
      <c r="BR2" s="215"/>
      <c r="BS2" s="215"/>
      <c r="BT2" s="215"/>
      <c r="BU2" s="215"/>
      <c r="BV2" s="215"/>
      <c r="BW2" s="215"/>
      <c r="BX2" s="215"/>
      <c r="BY2" s="215"/>
      <c r="BZ2" s="215"/>
      <c r="CA2" s="215"/>
      <c r="CB2" s="215"/>
      <c r="CC2" s="215"/>
      <c r="CD2" s="215"/>
      <c r="CE2" s="215"/>
      <c r="CF2" s="215"/>
      <c r="CG2" s="215"/>
      <c r="CH2" s="215"/>
      <c r="CI2" s="215"/>
      <c r="CJ2" s="215"/>
      <c r="CK2" s="215"/>
      <c r="CL2" s="215"/>
      <c r="CM2" s="215"/>
      <c r="CN2" s="215"/>
      <c r="CO2" s="215"/>
      <c r="CP2" s="215"/>
      <c r="CQ2" s="215"/>
      <c r="CR2" s="215"/>
      <c r="CS2" s="215"/>
      <c r="CT2" s="215"/>
      <c r="CU2" s="215"/>
      <c r="CV2" s="215"/>
      <c r="CW2" s="215"/>
      <c r="CX2" s="215"/>
      <c r="CY2" s="215"/>
      <c r="CZ2" s="215"/>
      <c r="DA2" s="215"/>
      <c r="DB2" s="215"/>
      <c r="DC2" s="215"/>
      <c r="DD2" s="215"/>
      <c r="DE2" s="215"/>
      <c r="DF2" s="215"/>
      <c r="DG2" s="215"/>
      <c r="DH2" s="215"/>
      <c r="DI2" s="215"/>
      <c r="DJ2" s="215"/>
      <c r="DK2" s="215"/>
      <c r="DL2" s="215"/>
      <c r="DM2" s="215"/>
      <c r="DN2" s="215"/>
      <c r="DO2" s="215"/>
      <c r="DP2" s="215"/>
      <c r="DQ2" s="215"/>
      <c r="DR2" s="215"/>
      <c r="DS2" s="215"/>
      <c r="DT2" s="215"/>
      <c r="DU2" s="215"/>
      <c r="DV2" s="215"/>
      <c r="DW2" s="215"/>
      <c r="DX2" s="215"/>
      <c r="DY2" s="215"/>
      <c r="DZ2" s="215"/>
      <c r="EA2" s="215"/>
      <c r="EB2" s="215"/>
      <c r="EC2" s="215"/>
      <c r="ED2" s="215"/>
      <c r="EE2" s="215"/>
      <c r="EF2" s="215"/>
      <c r="EG2" s="215"/>
      <c r="EH2" s="215"/>
      <c r="EI2" s="215"/>
      <c r="EJ2" s="215"/>
      <c r="EK2" s="215"/>
      <c r="EL2" s="215"/>
      <c r="EM2" s="215"/>
      <c r="EN2" s="215"/>
      <c r="EO2" s="215"/>
      <c r="EP2" s="215"/>
      <c r="EQ2" s="215"/>
      <c r="ER2" s="215"/>
      <c r="ES2" s="215"/>
      <c r="ET2" s="215"/>
      <c r="EU2" s="215"/>
      <c r="EV2" s="215"/>
      <c r="EW2" s="215"/>
      <c r="EX2" s="215"/>
      <c r="EY2" s="215"/>
      <c r="EZ2" s="215"/>
      <c r="FA2" s="215"/>
      <c r="FB2" s="215"/>
      <c r="FC2" s="215"/>
      <c r="FD2" s="215"/>
      <c r="FE2" s="215"/>
      <c r="FF2" s="215"/>
      <c r="FG2" s="215"/>
      <c r="FH2" s="215"/>
      <c r="FI2" s="215"/>
      <c r="FJ2" s="215"/>
      <c r="FK2" s="215"/>
      <c r="FL2" s="215"/>
      <c r="FM2" s="215"/>
      <c r="FN2" s="215"/>
      <c r="FO2" s="215"/>
      <c r="FP2" s="215"/>
      <c r="FQ2" s="215"/>
      <c r="FR2" s="215"/>
      <c r="FS2" s="215"/>
      <c r="FT2" s="215"/>
      <c r="FU2" s="215"/>
      <c r="FV2" s="215"/>
      <c r="FW2" s="215"/>
      <c r="FX2" s="215"/>
      <c r="FY2" s="215"/>
      <c r="FZ2" s="215"/>
      <c r="GA2" s="215"/>
      <c r="GB2" s="215"/>
      <c r="GC2" s="215"/>
      <c r="GD2" s="215"/>
      <c r="GE2" s="215"/>
      <c r="GF2" s="215"/>
      <c r="GG2" s="215"/>
      <c r="GH2" s="215"/>
      <c r="GI2" s="215"/>
      <c r="GJ2" s="215"/>
      <c r="GK2" s="215"/>
      <c r="GL2" s="215"/>
      <c r="GM2" s="215"/>
      <c r="GN2" s="215"/>
      <c r="GO2" s="215"/>
      <c r="GP2" s="215"/>
      <c r="GQ2" s="215"/>
      <c r="GR2" s="215"/>
      <c r="GS2" s="215"/>
      <c r="GT2" s="215"/>
      <c r="GU2" s="215"/>
      <c r="GV2" s="215"/>
      <c r="GW2" s="215"/>
      <c r="GX2" s="215"/>
      <c r="GY2" s="215"/>
      <c r="GZ2" s="215"/>
      <c r="HA2" s="215"/>
      <c r="HB2" s="215"/>
      <c r="HC2" s="215"/>
      <c r="HD2" s="215"/>
      <c r="HE2" s="215"/>
      <c r="HF2" s="215"/>
      <c r="HG2" s="215"/>
      <c r="HH2" s="215"/>
      <c r="HI2" s="215"/>
      <c r="HJ2" s="215"/>
      <c r="HK2" s="215"/>
      <c r="HL2" s="215"/>
      <c r="HM2" s="215"/>
      <c r="HN2" s="215"/>
      <c r="HO2" s="215"/>
      <c r="HP2" s="215"/>
      <c r="HQ2" s="215"/>
      <c r="HR2" s="215"/>
      <c r="HS2" s="215"/>
      <c r="HT2" s="215"/>
      <c r="HU2" s="215"/>
      <c r="HV2" s="215"/>
      <c r="HW2" s="215"/>
      <c r="HX2" s="215"/>
      <c r="HY2" s="215"/>
      <c r="HZ2" s="215"/>
      <c r="IA2" s="215"/>
      <c r="IB2" s="215"/>
      <c r="IC2" s="215"/>
      <c r="ID2" s="215"/>
      <c r="IE2" s="215"/>
      <c r="IF2" s="215"/>
      <c r="IG2" s="215"/>
      <c r="IH2" s="215"/>
      <c r="II2" s="215"/>
      <c r="IJ2" s="215"/>
      <c r="IK2" s="215"/>
      <c r="IL2" s="215"/>
      <c r="IM2" s="215"/>
      <c r="IN2" s="215"/>
      <c r="IO2" s="215"/>
      <c r="IP2" s="215"/>
      <c r="IQ2" s="215"/>
      <c r="IR2" s="215"/>
      <c r="IS2" s="215"/>
      <c r="IT2" s="215"/>
      <c r="IU2" s="215"/>
      <c r="IV2" s="215"/>
      <c r="IW2" s="215"/>
      <c r="IX2" s="215"/>
      <c r="IY2" s="215"/>
      <c r="IZ2" s="215"/>
      <c r="JA2" s="215"/>
      <c r="JB2" s="215"/>
      <c r="JC2" s="215"/>
      <c r="JD2" s="215"/>
      <c r="JE2" s="215"/>
      <c r="JF2" s="215"/>
      <c r="JG2" s="215"/>
      <c r="JH2" s="215"/>
      <c r="JI2" s="215"/>
      <c r="JJ2" s="215"/>
      <c r="JK2" s="215"/>
      <c r="JL2" s="215"/>
      <c r="JM2" s="215"/>
      <c r="JN2" s="215"/>
      <c r="JO2" s="215"/>
      <c r="JP2" s="215"/>
      <c r="JQ2" s="215"/>
      <c r="JR2" s="215"/>
      <c r="JS2" s="215"/>
      <c r="JT2" s="215"/>
      <c r="JU2" s="215"/>
      <c r="JV2" s="215"/>
      <c r="JW2" s="215"/>
      <c r="JX2" s="215"/>
      <c r="JY2" s="215"/>
      <c r="JZ2" s="215"/>
      <c r="KA2" s="215"/>
      <c r="KB2" s="215"/>
      <c r="KC2" s="215"/>
      <c r="KD2" s="215"/>
      <c r="KE2" s="215"/>
      <c r="KF2" s="215"/>
      <c r="KG2" s="215"/>
      <c r="KH2" s="215"/>
      <c r="KI2" s="215"/>
      <c r="KJ2" s="215"/>
      <c r="KK2" s="215"/>
      <c r="KL2" s="215"/>
      <c r="KM2" s="215"/>
      <c r="KN2" s="215"/>
      <c r="KO2" s="215"/>
      <c r="KP2" s="215"/>
      <c r="KQ2" s="215"/>
      <c r="KR2" s="215"/>
      <c r="KS2" s="215"/>
      <c r="KT2" s="215"/>
      <c r="KU2" s="215"/>
      <c r="KV2" s="215"/>
      <c r="KW2" s="215"/>
      <c r="KX2" s="215"/>
      <c r="KY2" s="215"/>
      <c r="KZ2" s="215"/>
      <c r="LA2" s="215"/>
      <c r="LB2" s="215"/>
      <c r="LC2" s="215"/>
      <c r="LD2" s="215"/>
      <c r="LE2" s="215"/>
      <c r="LF2" s="215"/>
      <c r="LG2" s="215"/>
      <c r="LH2" s="215"/>
      <c r="LI2" s="215"/>
      <c r="LJ2" s="215"/>
      <c r="LK2" s="215"/>
      <c r="LL2" s="215"/>
      <c r="LM2" s="215"/>
      <c r="LN2" s="215"/>
      <c r="LO2" s="215"/>
      <c r="LP2" s="215"/>
      <c r="LQ2" s="215"/>
      <c r="LR2" s="215"/>
      <c r="LS2" s="215"/>
      <c r="LT2" s="215"/>
      <c r="LU2" s="215"/>
      <c r="LV2" s="215"/>
      <c r="LW2" s="215"/>
      <c r="LX2" s="215"/>
      <c r="LY2" s="215"/>
      <c r="LZ2" s="215"/>
      <c r="MA2" s="215"/>
      <c r="MB2" s="215"/>
      <c r="MC2" s="215"/>
      <c r="MD2" s="215"/>
      <c r="ME2" s="215"/>
      <c r="MF2" s="215"/>
      <c r="MG2" s="215"/>
      <c r="MH2" s="215"/>
      <c r="MI2" s="215"/>
      <c r="MJ2" s="215"/>
      <c r="MK2" s="215"/>
      <c r="ML2" s="215"/>
      <c r="MM2" s="215"/>
      <c r="MN2" s="215"/>
      <c r="MO2" s="215"/>
      <c r="MP2" s="215"/>
      <c r="MQ2" s="215"/>
      <c r="MR2" s="215"/>
      <c r="MS2" s="215"/>
      <c r="MT2" s="215"/>
      <c r="MU2" s="215"/>
      <c r="MV2" s="215"/>
      <c r="MW2" s="215"/>
      <c r="MX2" s="215"/>
      <c r="MY2" s="215"/>
      <c r="MZ2" s="215"/>
      <c r="NA2" s="215"/>
      <c r="NB2" s="215"/>
      <c r="NC2" s="215"/>
      <c r="ND2" s="215"/>
      <c r="NE2" s="216"/>
    </row>
    <row r="3" spans="1:369" ht="15.75" thickBot="1" x14ac:dyDescent="0.3">
      <c r="A3" s="217" t="s">
        <v>11</v>
      </c>
      <c r="B3" s="220" t="s">
        <v>65</v>
      </c>
      <c r="C3" s="223" t="s">
        <v>190</v>
      </c>
      <c r="D3" s="226" t="s">
        <v>92</v>
      </c>
      <c r="E3" s="229" t="s">
        <v>191</v>
      </c>
      <c r="F3" s="230"/>
      <c r="G3" s="230"/>
      <c r="H3" s="230"/>
      <c r="I3" s="230"/>
      <c r="J3" s="230"/>
      <c r="K3" s="230"/>
      <c r="L3" s="230"/>
      <c r="M3" s="230"/>
      <c r="N3" s="230"/>
      <c r="O3" s="230"/>
      <c r="P3" s="230"/>
      <c r="Q3" s="230"/>
      <c r="R3" s="230"/>
      <c r="S3" s="230"/>
      <c r="T3" s="230"/>
      <c r="U3" s="230"/>
      <c r="V3" s="230"/>
      <c r="W3" s="230"/>
      <c r="X3" s="230"/>
      <c r="Y3" s="230"/>
      <c r="Z3" s="230"/>
      <c r="AA3" s="230"/>
      <c r="AB3" s="230"/>
      <c r="AC3" s="230"/>
      <c r="AD3" s="230"/>
      <c r="AE3" s="230"/>
      <c r="AF3" s="230"/>
      <c r="AG3" s="230"/>
      <c r="AH3" s="230"/>
      <c r="AI3" s="230"/>
      <c r="AJ3" s="230"/>
      <c r="AK3" s="230"/>
      <c r="AL3" s="230"/>
      <c r="AM3" s="230"/>
      <c r="AN3" s="230"/>
      <c r="AO3" s="230"/>
      <c r="AP3" s="230"/>
      <c r="AQ3" s="230"/>
      <c r="AR3" s="230"/>
      <c r="AS3" s="230"/>
      <c r="AT3" s="230"/>
      <c r="AU3" s="230"/>
      <c r="AV3" s="230"/>
      <c r="AW3" s="230"/>
      <c r="AX3" s="230"/>
      <c r="AY3" s="230"/>
      <c r="AZ3" s="230"/>
      <c r="BA3" s="230"/>
      <c r="BB3" s="230"/>
      <c r="BC3" s="230"/>
      <c r="BD3" s="230"/>
      <c r="BE3" s="230"/>
      <c r="BF3" s="230"/>
      <c r="BG3" s="230"/>
      <c r="BH3" s="230"/>
      <c r="BI3" s="230"/>
      <c r="BJ3" s="230"/>
      <c r="BK3" s="230"/>
      <c r="BL3" s="230"/>
      <c r="BM3" s="230"/>
      <c r="BN3" s="230"/>
      <c r="BO3" s="230"/>
      <c r="BP3" s="230"/>
      <c r="BQ3" s="230"/>
      <c r="BR3" s="230"/>
      <c r="BS3" s="230"/>
      <c r="BT3" s="230"/>
      <c r="BU3" s="230"/>
      <c r="BV3" s="230"/>
      <c r="BW3" s="230"/>
      <c r="BX3" s="230"/>
      <c r="BY3" s="230"/>
      <c r="BZ3" s="230"/>
      <c r="CA3" s="230"/>
      <c r="CB3" s="230"/>
      <c r="CC3" s="230"/>
      <c r="CD3" s="230"/>
      <c r="CE3" s="230"/>
      <c r="CF3" s="230"/>
      <c r="CG3" s="230"/>
      <c r="CH3" s="230"/>
      <c r="CI3" s="230"/>
      <c r="CJ3" s="230"/>
      <c r="CK3" s="230"/>
      <c r="CL3" s="230"/>
      <c r="CM3" s="230"/>
      <c r="CN3" s="230"/>
      <c r="CO3" s="230"/>
      <c r="CP3" s="230"/>
      <c r="CQ3" s="230"/>
      <c r="CR3" s="230"/>
      <c r="CS3" s="230"/>
      <c r="CT3" s="230"/>
      <c r="CU3" s="230"/>
      <c r="CV3" s="230"/>
      <c r="CW3" s="230"/>
      <c r="CX3" s="230"/>
      <c r="CY3" s="230"/>
      <c r="CZ3" s="230"/>
      <c r="DA3" s="230"/>
      <c r="DB3" s="230"/>
      <c r="DC3" s="230"/>
      <c r="DD3" s="230"/>
      <c r="DE3" s="230"/>
      <c r="DF3" s="230"/>
      <c r="DG3" s="230"/>
      <c r="DH3" s="230"/>
      <c r="DI3" s="230"/>
      <c r="DJ3" s="230"/>
      <c r="DK3" s="230"/>
      <c r="DL3" s="230"/>
      <c r="DM3" s="230"/>
      <c r="DN3" s="230"/>
      <c r="DO3" s="230"/>
      <c r="DP3" s="230"/>
      <c r="DQ3" s="230"/>
      <c r="DR3" s="230"/>
      <c r="DS3" s="230"/>
      <c r="DT3" s="230"/>
      <c r="DU3" s="230"/>
      <c r="DV3" s="230"/>
      <c r="DW3" s="230"/>
      <c r="DX3" s="230"/>
      <c r="DY3" s="230"/>
      <c r="DZ3" s="230"/>
      <c r="EA3" s="230"/>
      <c r="EB3" s="230"/>
      <c r="EC3" s="230"/>
      <c r="ED3" s="230"/>
      <c r="EE3" s="230"/>
      <c r="EF3" s="230"/>
      <c r="EG3" s="230"/>
      <c r="EH3" s="230"/>
      <c r="EI3" s="230"/>
      <c r="EJ3" s="230"/>
      <c r="EK3" s="230"/>
      <c r="EL3" s="230"/>
      <c r="EM3" s="230"/>
      <c r="EN3" s="230"/>
      <c r="EO3" s="230"/>
      <c r="EP3" s="230"/>
      <c r="EQ3" s="230"/>
      <c r="ER3" s="230"/>
      <c r="ES3" s="230"/>
      <c r="ET3" s="230"/>
      <c r="EU3" s="230"/>
      <c r="EV3" s="230"/>
      <c r="EW3" s="230"/>
      <c r="EX3" s="230"/>
      <c r="EY3" s="230"/>
      <c r="EZ3" s="230"/>
      <c r="FA3" s="230"/>
      <c r="FB3" s="230"/>
      <c r="FC3" s="230"/>
      <c r="FD3" s="230"/>
      <c r="FE3" s="230"/>
      <c r="FF3" s="230"/>
      <c r="FG3" s="230"/>
      <c r="FH3" s="230"/>
      <c r="FI3" s="230"/>
      <c r="FJ3" s="230"/>
      <c r="FK3" s="230"/>
      <c r="FL3" s="230"/>
      <c r="FM3" s="230"/>
      <c r="FN3" s="230"/>
      <c r="FO3" s="230"/>
      <c r="FP3" s="230"/>
      <c r="FQ3" s="230"/>
      <c r="FR3" s="230"/>
      <c r="FS3" s="230"/>
      <c r="FT3" s="230"/>
      <c r="FU3" s="230"/>
      <c r="FV3" s="230"/>
      <c r="FW3" s="230"/>
      <c r="FX3" s="230"/>
      <c r="FY3" s="230"/>
      <c r="FZ3" s="230"/>
      <c r="GA3" s="230"/>
      <c r="GB3" s="230"/>
      <c r="GC3" s="230"/>
      <c r="GD3" s="230"/>
      <c r="GE3" s="230"/>
      <c r="GF3" s="230"/>
      <c r="GG3" s="230"/>
      <c r="GH3" s="230"/>
      <c r="GI3" s="230"/>
      <c r="GJ3" s="230"/>
      <c r="GK3" s="230"/>
      <c r="GL3" s="230"/>
      <c r="GM3" s="230"/>
      <c r="GN3" s="230"/>
      <c r="GO3" s="230"/>
      <c r="GP3" s="230"/>
      <c r="GQ3" s="230"/>
      <c r="GR3" s="230"/>
      <c r="GS3" s="230"/>
      <c r="GT3" s="230"/>
      <c r="GU3" s="230"/>
      <c r="GV3" s="230"/>
      <c r="GW3" s="230"/>
      <c r="GX3" s="230"/>
      <c r="GY3" s="230"/>
      <c r="GZ3" s="230"/>
      <c r="HA3" s="230"/>
      <c r="HB3" s="230"/>
      <c r="HC3" s="230"/>
      <c r="HD3" s="230"/>
      <c r="HE3" s="230"/>
      <c r="HF3" s="230"/>
      <c r="HG3" s="230"/>
      <c r="HH3" s="230"/>
      <c r="HI3" s="230"/>
      <c r="HJ3" s="230"/>
      <c r="HK3" s="230"/>
      <c r="HL3" s="230"/>
      <c r="HM3" s="230"/>
      <c r="HN3" s="230"/>
      <c r="HO3" s="230"/>
      <c r="HP3" s="230"/>
      <c r="HQ3" s="230"/>
      <c r="HR3" s="230"/>
      <c r="HS3" s="230"/>
      <c r="HT3" s="230"/>
      <c r="HU3" s="230"/>
      <c r="HV3" s="230"/>
      <c r="HW3" s="230"/>
      <c r="HX3" s="230"/>
      <c r="HY3" s="230"/>
      <c r="HZ3" s="230"/>
      <c r="IA3" s="230"/>
      <c r="IB3" s="230"/>
      <c r="IC3" s="230"/>
      <c r="ID3" s="230"/>
      <c r="IE3" s="230"/>
      <c r="IF3" s="230"/>
      <c r="IG3" s="230"/>
      <c r="IH3" s="230"/>
      <c r="II3" s="230"/>
      <c r="IJ3" s="230"/>
      <c r="IK3" s="230"/>
      <c r="IL3" s="230"/>
      <c r="IM3" s="230"/>
      <c r="IN3" s="230"/>
      <c r="IO3" s="230"/>
      <c r="IP3" s="230"/>
      <c r="IQ3" s="230"/>
      <c r="IR3" s="230"/>
      <c r="IS3" s="230"/>
      <c r="IT3" s="230"/>
      <c r="IU3" s="230"/>
      <c r="IV3" s="230"/>
      <c r="IW3" s="230"/>
      <c r="IX3" s="230"/>
      <c r="IY3" s="230"/>
      <c r="IZ3" s="230"/>
      <c r="JA3" s="230"/>
      <c r="JB3" s="230"/>
      <c r="JC3" s="230"/>
      <c r="JD3" s="230"/>
      <c r="JE3" s="230"/>
      <c r="JF3" s="230"/>
      <c r="JG3" s="230"/>
      <c r="JH3" s="230"/>
      <c r="JI3" s="230"/>
      <c r="JJ3" s="230"/>
      <c r="JK3" s="230"/>
      <c r="JL3" s="230"/>
      <c r="JM3" s="230"/>
      <c r="JN3" s="230"/>
      <c r="JO3" s="230"/>
      <c r="JP3" s="230"/>
      <c r="JQ3" s="230"/>
      <c r="JR3" s="230"/>
      <c r="JS3" s="230"/>
      <c r="JT3" s="230"/>
      <c r="JU3" s="230"/>
      <c r="JV3" s="230"/>
      <c r="JW3" s="230"/>
      <c r="JX3" s="230"/>
      <c r="JY3" s="230"/>
      <c r="JZ3" s="230"/>
      <c r="KA3" s="230"/>
      <c r="KB3" s="230"/>
      <c r="KC3" s="230"/>
      <c r="KD3" s="230"/>
      <c r="KE3" s="230"/>
      <c r="KF3" s="230"/>
      <c r="KG3" s="230"/>
      <c r="KH3" s="230"/>
      <c r="KI3" s="230"/>
      <c r="KJ3" s="230"/>
      <c r="KK3" s="230"/>
      <c r="KL3" s="230"/>
      <c r="KM3" s="230"/>
      <c r="KN3" s="230"/>
      <c r="KO3" s="230"/>
      <c r="KP3" s="230"/>
      <c r="KQ3" s="230"/>
      <c r="KR3" s="230"/>
      <c r="KS3" s="230"/>
      <c r="KT3" s="230"/>
      <c r="KU3" s="230"/>
      <c r="KV3" s="230"/>
      <c r="KW3" s="230"/>
      <c r="KX3" s="230"/>
      <c r="KY3" s="230"/>
      <c r="KZ3" s="230"/>
      <c r="LA3" s="230"/>
      <c r="LB3" s="230"/>
      <c r="LC3" s="230"/>
      <c r="LD3" s="230"/>
      <c r="LE3" s="230"/>
      <c r="LF3" s="230"/>
      <c r="LG3" s="230"/>
      <c r="LH3" s="230"/>
      <c r="LI3" s="230"/>
      <c r="LJ3" s="230"/>
      <c r="LK3" s="230"/>
      <c r="LL3" s="230"/>
      <c r="LM3" s="230"/>
      <c r="LN3" s="230"/>
      <c r="LO3" s="230"/>
      <c r="LP3" s="230"/>
      <c r="LQ3" s="230"/>
      <c r="LR3" s="230"/>
      <c r="LS3" s="230"/>
      <c r="LT3" s="230"/>
      <c r="LU3" s="230"/>
      <c r="LV3" s="230"/>
      <c r="LW3" s="230"/>
      <c r="LX3" s="230"/>
      <c r="LY3" s="230"/>
      <c r="LZ3" s="230"/>
      <c r="MA3" s="230"/>
      <c r="MB3" s="230"/>
      <c r="MC3" s="230"/>
      <c r="MD3" s="230"/>
      <c r="ME3" s="230"/>
      <c r="MF3" s="230"/>
      <c r="MG3" s="230"/>
      <c r="MH3" s="230"/>
      <c r="MI3" s="230"/>
      <c r="MJ3" s="230"/>
      <c r="MK3" s="230"/>
      <c r="ML3" s="230"/>
      <c r="MM3" s="230"/>
      <c r="MN3" s="230"/>
      <c r="MO3" s="230"/>
      <c r="MP3" s="230"/>
      <c r="MQ3" s="230"/>
      <c r="MR3" s="230"/>
      <c r="MS3" s="230"/>
      <c r="MT3" s="230"/>
      <c r="MU3" s="230"/>
      <c r="MV3" s="230"/>
      <c r="MW3" s="230"/>
      <c r="MX3" s="230"/>
      <c r="MY3" s="230"/>
      <c r="MZ3" s="230"/>
      <c r="NA3" s="230"/>
      <c r="NB3" s="230"/>
      <c r="NC3" s="230"/>
      <c r="ND3" s="230"/>
      <c r="NE3" s="231"/>
    </row>
    <row r="4" spans="1:369" ht="15.75" thickBot="1" x14ac:dyDescent="0.3">
      <c r="A4" s="218"/>
      <c r="B4" s="221"/>
      <c r="C4" s="224"/>
      <c r="D4" s="227"/>
      <c r="E4" s="229" t="s">
        <v>192</v>
      </c>
      <c r="F4" s="230"/>
      <c r="G4" s="230"/>
      <c r="H4" s="230"/>
      <c r="I4" s="230"/>
      <c r="J4" s="230"/>
      <c r="K4" s="230"/>
      <c r="L4" s="230"/>
      <c r="M4" s="230"/>
      <c r="N4" s="230"/>
      <c r="O4" s="230"/>
      <c r="P4" s="230"/>
      <c r="Q4" s="230"/>
      <c r="R4" s="230"/>
      <c r="S4" s="230"/>
      <c r="T4" s="230"/>
      <c r="U4" s="230"/>
      <c r="V4" s="230"/>
      <c r="W4" s="230"/>
      <c r="X4" s="230"/>
      <c r="Y4" s="230"/>
      <c r="Z4" s="230"/>
      <c r="AA4" s="230"/>
      <c r="AB4" s="230"/>
      <c r="AC4" s="230"/>
      <c r="AD4" s="230"/>
      <c r="AE4" s="230"/>
      <c r="AF4" s="230"/>
      <c r="AG4" s="230"/>
      <c r="AH4" s="230"/>
      <c r="AI4" s="231"/>
      <c r="AJ4" s="229" t="s">
        <v>193</v>
      </c>
      <c r="AK4" s="230"/>
      <c r="AL4" s="230"/>
      <c r="AM4" s="230"/>
      <c r="AN4" s="230"/>
      <c r="AO4" s="230"/>
      <c r="AP4" s="230"/>
      <c r="AQ4" s="230"/>
      <c r="AR4" s="230"/>
      <c r="AS4" s="230"/>
      <c r="AT4" s="230"/>
      <c r="AU4" s="230"/>
      <c r="AV4" s="230"/>
      <c r="AW4" s="230"/>
      <c r="AX4" s="230"/>
      <c r="AY4" s="230"/>
      <c r="AZ4" s="230"/>
      <c r="BA4" s="230"/>
      <c r="BB4" s="230"/>
      <c r="BC4" s="230"/>
      <c r="BD4" s="230"/>
      <c r="BE4" s="230"/>
      <c r="BF4" s="230"/>
      <c r="BG4" s="230"/>
      <c r="BH4" s="230"/>
      <c r="BI4" s="230"/>
      <c r="BJ4" s="230"/>
      <c r="BK4" s="231"/>
      <c r="BL4" s="229" t="s">
        <v>194</v>
      </c>
      <c r="BM4" s="230"/>
      <c r="BN4" s="230"/>
      <c r="BO4" s="230"/>
      <c r="BP4" s="230"/>
      <c r="BQ4" s="230"/>
      <c r="BR4" s="230"/>
      <c r="BS4" s="230"/>
      <c r="BT4" s="230"/>
      <c r="BU4" s="230"/>
      <c r="BV4" s="230"/>
      <c r="BW4" s="230"/>
      <c r="BX4" s="230"/>
      <c r="BY4" s="230"/>
      <c r="BZ4" s="230"/>
      <c r="CA4" s="230"/>
      <c r="CB4" s="230"/>
      <c r="CC4" s="230"/>
      <c r="CD4" s="230"/>
      <c r="CE4" s="230"/>
      <c r="CF4" s="230"/>
      <c r="CG4" s="230"/>
      <c r="CH4" s="230"/>
      <c r="CI4" s="230"/>
      <c r="CJ4" s="230"/>
      <c r="CK4" s="230"/>
      <c r="CL4" s="230"/>
      <c r="CM4" s="230"/>
      <c r="CN4" s="230"/>
      <c r="CO4" s="230"/>
      <c r="CP4" s="231"/>
      <c r="CQ4" s="229" t="s">
        <v>195</v>
      </c>
      <c r="CR4" s="230"/>
      <c r="CS4" s="230"/>
      <c r="CT4" s="230"/>
      <c r="CU4" s="230"/>
      <c r="CV4" s="230"/>
      <c r="CW4" s="230"/>
      <c r="CX4" s="230"/>
      <c r="CY4" s="230"/>
      <c r="CZ4" s="230"/>
      <c r="DA4" s="230"/>
      <c r="DB4" s="230"/>
      <c r="DC4" s="230"/>
      <c r="DD4" s="230"/>
      <c r="DE4" s="230"/>
      <c r="DF4" s="230"/>
      <c r="DG4" s="230"/>
      <c r="DH4" s="230"/>
      <c r="DI4" s="230"/>
      <c r="DJ4" s="230"/>
      <c r="DK4" s="230"/>
      <c r="DL4" s="230"/>
      <c r="DM4" s="230"/>
      <c r="DN4" s="230"/>
      <c r="DO4" s="230"/>
      <c r="DP4" s="230"/>
      <c r="DQ4" s="230"/>
      <c r="DR4" s="230"/>
      <c r="DS4" s="230"/>
      <c r="DT4" s="231"/>
      <c r="DU4" s="229" t="s">
        <v>196</v>
      </c>
      <c r="DV4" s="230"/>
      <c r="DW4" s="230"/>
      <c r="DX4" s="230"/>
      <c r="DY4" s="230"/>
      <c r="DZ4" s="230"/>
      <c r="EA4" s="230"/>
      <c r="EB4" s="230"/>
      <c r="EC4" s="230"/>
      <c r="ED4" s="230"/>
      <c r="EE4" s="230"/>
      <c r="EF4" s="230"/>
      <c r="EG4" s="230"/>
      <c r="EH4" s="230"/>
      <c r="EI4" s="230"/>
      <c r="EJ4" s="230"/>
      <c r="EK4" s="230"/>
      <c r="EL4" s="230"/>
      <c r="EM4" s="230"/>
      <c r="EN4" s="230"/>
      <c r="EO4" s="230"/>
      <c r="EP4" s="230"/>
      <c r="EQ4" s="230"/>
      <c r="ER4" s="230"/>
      <c r="ES4" s="230"/>
      <c r="ET4" s="230"/>
      <c r="EU4" s="230"/>
      <c r="EV4" s="230"/>
      <c r="EW4" s="230"/>
      <c r="EX4" s="230"/>
      <c r="EY4" s="231"/>
      <c r="EZ4" s="229" t="s">
        <v>197</v>
      </c>
      <c r="FA4" s="230"/>
      <c r="FB4" s="230"/>
      <c r="FC4" s="230"/>
      <c r="FD4" s="230"/>
      <c r="FE4" s="230"/>
      <c r="FF4" s="230"/>
      <c r="FG4" s="230"/>
      <c r="FH4" s="230"/>
      <c r="FI4" s="230"/>
      <c r="FJ4" s="230"/>
      <c r="FK4" s="230"/>
      <c r="FL4" s="230"/>
      <c r="FM4" s="230"/>
      <c r="FN4" s="230"/>
      <c r="FO4" s="230"/>
      <c r="FP4" s="230"/>
      <c r="FQ4" s="230"/>
      <c r="FR4" s="230"/>
      <c r="FS4" s="230"/>
      <c r="FT4" s="230"/>
      <c r="FU4" s="230"/>
      <c r="FV4" s="230"/>
      <c r="FW4" s="230"/>
      <c r="FX4" s="230"/>
      <c r="FY4" s="230"/>
      <c r="FZ4" s="230"/>
      <c r="GA4" s="230"/>
      <c r="GB4" s="230"/>
      <c r="GC4" s="231"/>
      <c r="GD4" s="229" t="s">
        <v>198</v>
      </c>
      <c r="GE4" s="230"/>
      <c r="GF4" s="230"/>
      <c r="GG4" s="230"/>
      <c r="GH4" s="230"/>
      <c r="GI4" s="230"/>
      <c r="GJ4" s="230"/>
      <c r="GK4" s="230"/>
      <c r="GL4" s="230"/>
      <c r="GM4" s="230"/>
      <c r="GN4" s="230"/>
      <c r="GO4" s="230"/>
      <c r="GP4" s="230"/>
      <c r="GQ4" s="230"/>
      <c r="GR4" s="230"/>
      <c r="GS4" s="230"/>
      <c r="GT4" s="230"/>
      <c r="GU4" s="230"/>
      <c r="GV4" s="230"/>
      <c r="GW4" s="230"/>
      <c r="GX4" s="230"/>
      <c r="GY4" s="230"/>
      <c r="GZ4" s="230"/>
      <c r="HA4" s="230"/>
      <c r="HB4" s="230"/>
      <c r="HC4" s="230"/>
      <c r="HD4" s="230"/>
      <c r="HE4" s="230"/>
      <c r="HF4" s="230"/>
      <c r="HG4" s="230"/>
      <c r="HH4" s="231"/>
      <c r="HI4" s="229" t="s">
        <v>199</v>
      </c>
      <c r="HJ4" s="230"/>
      <c r="HK4" s="230"/>
      <c r="HL4" s="230"/>
      <c r="HM4" s="230"/>
      <c r="HN4" s="230"/>
      <c r="HO4" s="230"/>
      <c r="HP4" s="230"/>
      <c r="HQ4" s="230"/>
      <c r="HR4" s="230"/>
      <c r="HS4" s="230"/>
      <c r="HT4" s="230"/>
      <c r="HU4" s="230"/>
      <c r="HV4" s="230"/>
      <c r="HW4" s="230"/>
      <c r="HX4" s="230"/>
      <c r="HY4" s="230"/>
      <c r="HZ4" s="230"/>
      <c r="IA4" s="230"/>
      <c r="IB4" s="230"/>
      <c r="IC4" s="230"/>
      <c r="ID4" s="230"/>
      <c r="IE4" s="230"/>
      <c r="IF4" s="230"/>
      <c r="IG4" s="230"/>
      <c r="IH4" s="230"/>
      <c r="II4" s="230"/>
      <c r="IJ4" s="230"/>
      <c r="IK4" s="230"/>
      <c r="IL4" s="230"/>
      <c r="IM4" s="231"/>
      <c r="IN4" s="229" t="s">
        <v>200</v>
      </c>
      <c r="IO4" s="230"/>
      <c r="IP4" s="230"/>
      <c r="IQ4" s="230"/>
      <c r="IR4" s="230"/>
      <c r="IS4" s="230"/>
      <c r="IT4" s="230"/>
      <c r="IU4" s="230"/>
      <c r="IV4" s="230"/>
      <c r="IW4" s="230"/>
      <c r="IX4" s="230"/>
      <c r="IY4" s="230"/>
      <c r="IZ4" s="230"/>
      <c r="JA4" s="230"/>
      <c r="JB4" s="230"/>
      <c r="JC4" s="230"/>
      <c r="JD4" s="230"/>
      <c r="JE4" s="230"/>
      <c r="JF4" s="230"/>
      <c r="JG4" s="230"/>
      <c r="JH4" s="230"/>
      <c r="JI4" s="230"/>
      <c r="JJ4" s="230"/>
      <c r="JK4" s="230"/>
      <c r="JL4" s="230"/>
      <c r="JM4" s="230"/>
      <c r="JN4" s="230"/>
      <c r="JO4" s="230"/>
      <c r="JP4" s="230"/>
      <c r="JQ4" s="231"/>
      <c r="JR4" s="229" t="s">
        <v>201</v>
      </c>
      <c r="JS4" s="230"/>
      <c r="JT4" s="230"/>
      <c r="JU4" s="230"/>
      <c r="JV4" s="230"/>
      <c r="JW4" s="230"/>
      <c r="JX4" s="230"/>
      <c r="JY4" s="230"/>
      <c r="JZ4" s="230"/>
      <c r="KA4" s="230"/>
      <c r="KB4" s="230"/>
      <c r="KC4" s="230"/>
      <c r="KD4" s="230"/>
      <c r="KE4" s="230"/>
      <c r="KF4" s="230"/>
      <c r="KG4" s="230"/>
      <c r="KH4" s="230"/>
      <c r="KI4" s="230"/>
      <c r="KJ4" s="230"/>
      <c r="KK4" s="230"/>
      <c r="KL4" s="230"/>
      <c r="KM4" s="230"/>
      <c r="KN4" s="230"/>
      <c r="KO4" s="230"/>
      <c r="KP4" s="230"/>
      <c r="KQ4" s="230"/>
      <c r="KR4" s="230"/>
      <c r="KS4" s="230"/>
      <c r="KT4" s="230"/>
      <c r="KU4" s="230"/>
      <c r="KV4" s="231"/>
      <c r="KW4" s="229" t="s">
        <v>202</v>
      </c>
      <c r="KX4" s="230"/>
      <c r="KY4" s="230"/>
      <c r="KZ4" s="230"/>
      <c r="LA4" s="230"/>
      <c r="LB4" s="230"/>
      <c r="LC4" s="230"/>
      <c r="LD4" s="230"/>
      <c r="LE4" s="230"/>
      <c r="LF4" s="230"/>
      <c r="LG4" s="230"/>
      <c r="LH4" s="230"/>
      <c r="LI4" s="230"/>
      <c r="LJ4" s="230"/>
      <c r="LK4" s="230"/>
      <c r="LL4" s="230"/>
      <c r="LM4" s="230"/>
      <c r="LN4" s="230"/>
      <c r="LO4" s="230"/>
      <c r="LP4" s="230"/>
      <c r="LQ4" s="230"/>
      <c r="LR4" s="230"/>
      <c r="LS4" s="230"/>
      <c r="LT4" s="230"/>
      <c r="LU4" s="230"/>
      <c r="LV4" s="230"/>
      <c r="LW4" s="230"/>
      <c r="LX4" s="230"/>
      <c r="LY4" s="230"/>
      <c r="LZ4" s="231"/>
      <c r="MA4" s="229" t="s">
        <v>203</v>
      </c>
      <c r="MB4" s="230"/>
      <c r="MC4" s="230"/>
      <c r="MD4" s="230"/>
      <c r="ME4" s="230"/>
      <c r="MF4" s="230"/>
      <c r="MG4" s="230"/>
      <c r="MH4" s="230"/>
      <c r="MI4" s="230"/>
      <c r="MJ4" s="230"/>
      <c r="MK4" s="230"/>
      <c r="ML4" s="230"/>
      <c r="MM4" s="230"/>
      <c r="MN4" s="230"/>
      <c r="MO4" s="230"/>
      <c r="MP4" s="230"/>
      <c r="MQ4" s="230"/>
      <c r="MR4" s="230"/>
      <c r="MS4" s="230"/>
      <c r="MT4" s="230"/>
      <c r="MU4" s="230"/>
      <c r="MV4" s="230"/>
      <c r="MW4" s="230"/>
      <c r="MX4" s="230"/>
      <c r="MY4" s="230"/>
      <c r="MZ4" s="230"/>
      <c r="NA4" s="230"/>
      <c r="NB4" s="230"/>
      <c r="NC4" s="230"/>
      <c r="ND4" s="230"/>
      <c r="NE4" s="231"/>
    </row>
    <row r="5" spans="1:369" ht="15.75" thickBot="1" x14ac:dyDescent="0.3">
      <c r="A5" s="219"/>
      <c r="B5" s="222"/>
      <c r="C5" s="225"/>
      <c r="D5" s="228"/>
      <c r="E5" s="52">
        <v>1</v>
      </c>
      <c r="F5" s="53">
        <v>2</v>
      </c>
      <c r="G5" s="53">
        <v>3</v>
      </c>
      <c r="H5" s="54">
        <v>4</v>
      </c>
      <c r="I5" s="54">
        <v>5</v>
      </c>
      <c r="J5" s="54">
        <v>6</v>
      </c>
      <c r="K5" s="54">
        <v>7</v>
      </c>
      <c r="L5" s="54">
        <v>8</v>
      </c>
      <c r="M5" s="54">
        <v>9</v>
      </c>
      <c r="N5" s="54">
        <v>10</v>
      </c>
      <c r="O5" s="54">
        <v>11</v>
      </c>
      <c r="P5" s="54">
        <v>12</v>
      </c>
      <c r="Q5" s="54">
        <v>13</v>
      </c>
      <c r="R5" s="54">
        <v>14</v>
      </c>
      <c r="S5" s="54">
        <v>15</v>
      </c>
      <c r="T5" s="54">
        <v>16</v>
      </c>
      <c r="U5" s="54">
        <v>17</v>
      </c>
      <c r="V5" s="54">
        <v>18</v>
      </c>
      <c r="W5" s="54">
        <v>19</v>
      </c>
      <c r="X5" s="54">
        <v>20</v>
      </c>
      <c r="Y5" s="54">
        <v>21</v>
      </c>
      <c r="Z5" s="54">
        <v>22</v>
      </c>
      <c r="AA5" s="54">
        <v>23</v>
      </c>
      <c r="AB5" s="54">
        <v>24</v>
      </c>
      <c r="AC5" s="54">
        <v>25</v>
      </c>
      <c r="AD5" s="54">
        <v>26</v>
      </c>
      <c r="AE5" s="54">
        <v>27</v>
      </c>
      <c r="AF5" s="54">
        <v>28</v>
      </c>
      <c r="AG5" s="54">
        <v>29</v>
      </c>
      <c r="AH5" s="54">
        <v>30</v>
      </c>
      <c r="AI5" s="55">
        <v>31</v>
      </c>
      <c r="AJ5" s="56">
        <v>1</v>
      </c>
      <c r="AK5" s="54">
        <v>2</v>
      </c>
      <c r="AL5" s="54">
        <v>3</v>
      </c>
      <c r="AM5" s="54">
        <v>4</v>
      </c>
      <c r="AN5" s="54">
        <v>5</v>
      </c>
      <c r="AO5" s="54">
        <v>6</v>
      </c>
      <c r="AP5" s="54">
        <v>7</v>
      </c>
      <c r="AQ5" s="54">
        <v>8</v>
      </c>
      <c r="AR5" s="54">
        <v>9</v>
      </c>
      <c r="AS5" s="54">
        <v>10</v>
      </c>
      <c r="AT5" s="54">
        <v>11</v>
      </c>
      <c r="AU5" s="54">
        <v>12</v>
      </c>
      <c r="AV5" s="54">
        <v>13</v>
      </c>
      <c r="AW5" s="54">
        <v>14</v>
      </c>
      <c r="AX5" s="54">
        <v>15</v>
      </c>
      <c r="AY5" s="54">
        <v>16</v>
      </c>
      <c r="AZ5" s="54">
        <v>17</v>
      </c>
      <c r="BA5" s="54">
        <v>18</v>
      </c>
      <c r="BB5" s="54">
        <v>19</v>
      </c>
      <c r="BC5" s="54">
        <v>20</v>
      </c>
      <c r="BD5" s="54">
        <v>21</v>
      </c>
      <c r="BE5" s="54">
        <v>22</v>
      </c>
      <c r="BF5" s="54">
        <v>23</v>
      </c>
      <c r="BG5" s="54">
        <v>24</v>
      </c>
      <c r="BH5" s="54">
        <v>25</v>
      </c>
      <c r="BI5" s="54">
        <v>26</v>
      </c>
      <c r="BJ5" s="54">
        <v>27</v>
      </c>
      <c r="BK5" s="55">
        <v>28</v>
      </c>
      <c r="BL5" s="52">
        <v>1</v>
      </c>
      <c r="BM5" s="53">
        <v>2</v>
      </c>
      <c r="BN5" s="53">
        <v>3</v>
      </c>
      <c r="BO5" s="54">
        <v>4</v>
      </c>
      <c r="BP5" s="54">
        <v>5</v>
      </c>
      <c r="BQ5" s="54">
        <v>6</v>
      </c>
      <c r="BR5" s="54">
        <v>7</v>
      </c>
      <c r="BS5" s="54">
        <v>8</v>
      </c>
      <c r="BT5" s="54">
        <v>9</v>
      </c>
      <c r="BU5" s="54">
        <v>10</v>
      </c>
      <c r="BV5" s="54">
        <v>11</v>
      </c>
      <c r="BW5" s="54">
        <v>12</v>
      </c>
      <c r="BX5" s="54">
        <v>13</v>
      </c>
      <c r="BY5" s="54">
        <v>14</v>
      </c>
      <c r="BZ5" s="54">
        <v>15</v>
      </c>
      <c r="CA5" s="54">
        <v>16</v>
      </c>
      <c r="CB5" s="54">
        <v>17</v>
      </c>
      <c r="CC5" s="54">
        <v>18</v>
      </c>
      <c r="CD5" s="54">
        <v>19</v>
      </c>
      <c r="CE5" s="54">
        <v>20</v>
      </c>
      <c r="CF5" s="54">
        <v>21</v>
      </c>
      <c r="CG5" s="54">
        <v>22</v>
      </c>
      <c r="CH5" s="54">
        <v>23</v>
      </c>
      <c r="CI5" s="54">
        <v>24</v>
      </c>
      <c r="CJ5" s="54">
        <v>25</v>
      </c>
      <c r="CK5" s="54">
        <v>26</v>
      </c>
      <c r="CL5" s="54">
        <v>27</v>
      </c>
      <c r="CM5" s="54">
        <v>28</v>
      </c>
      <c r="CN5" s="54">
        <v>29</v>
      </c>
      <c r="CO5" s="54">
        <v>30</v>
      </c>
      <c r="CP5" s="55">
        <v>31</v>
      </c>
      <c r="CQ5" s="56">
        <v>1</v>
      </c>
      <c r="CR5" s="54">
        <v>2</v>
      </c>
      <c r="CS5" s="54">
        <v>3</v>
      </c>
      <c r="CT5" s="54">
        <v>4</v>
      </c>
      <c r="CU5" s="54">
        <v>5</v>
      </c>
      <c r="CV5" s="54">
        <v>6</v>
      </c>
      <c r="CW5" s="54">
        <v>7</v>
      </c>
      <c r="CX5" s="54">
        <v>8</v>
      </c>
      <c r="CY5" s="54">
        <v>9</v>
      </c>
      <c r="CZ5" s="54">
        <v>10</v>
      </c>
      <c r="DA5" s="54">
        <v>11</v>
      </c>
      <c r="DB5" s="54">
        <v>12</v>
      </c>
      <c r="DC5" s="54">
        <v>13</v>
      </c>
      <c r="DD5" s="54">
        <v>14</v>
      </c>
      <c r="DE5" s="54">
        <v>15</v>
      </c>
      <c r="DF5" s="54">
        <v>16</v>
      </c>
      <c r="DG5" s="54">
        <v>17</v>
      </c>
      <c r="DH5" s="54">
        <v>18</v>
      </c>
      <c r="DI5" s="54">
        <v>19</v>
      </c>
      <c r="DJ5" s="54">
        <v>20</v>
      </c>
      <c r="DK5" s="54">
        <v>21</v>
      </c>
      <c r="DL5" s="54">
        <v>22</v>
      </c>
      <c r="DM5" s="54">
        <v>23</v>
      </c>
      <c r="DN5" s="54">
        <v>24</v>
      </c>
      <c r="DO5" s="54">
        <v>25</v>
      </c>
      <c r="DP5" s="54">
        <v>26</v>
      </c>
      <c r="DQ5" s="54">
        <v>27</v>
      </c>
      <c r="DR5" s="54">
        <v>28</v>
      </c>
      <c r="DS5" s="54">
        <v>29</v>
      </c>
      <c r="DT5" s="55">
        <v>30</v>
      </c>
      <c r="DU5" s="52">
        <v>1</v>
      </c>
      <c r="DV5" s="53">
        <v>2</v>
      </c>
      <c r="DW5" s="53">
        <v>3</v>
      </c>
      <c r="DX5" s="54">
        <v>4</v>
      </c>
      <c r="DY5" s="54">
        <v>5</v>
      </c>
      <c r="DZ5" s="54">
        <v>6</v>
      </c>
      <c r="EA5" s="54">
        <v>7</v>
      </c>
      <c r="EB5" s="54">
        <v>8</v>
      </c>
      <c r="EC5" s="54">
        <v>9</v>
      </c>
      <c r="ED5" s="54">
        <v>10</v>
      </c>
      <c r="EE5" s="54">
        <v>11</v>
      </c>
      <c r="EF5" s="54">
        <v>12</v>
      </c>
      <c r="EG5" s="54">
        <v>13</v>
      </c>
      <c r="EH5" s="54">
        <v>14</v>
      </c>
      <c r="EI5" s="54">
        <v>15</v>
      </c>
      <c r="EJ5" s="54">
        <v>16</v>
      </c>
      <c r="EK5" s="54">
        <v>17</v>
      </c>
      <c r="EL5" s="54">
        <v>18</v>
      </c>
      <c r="EM5" s="54">
        <v>19</v>
      </c>
      <c r="EN5" s="54">
        <v>20</v>
      </c>
      <c r="EO5" s="54">
        <v>21</v>
      </c>
      <c r="EP5" s="54">
        <v>22</v>
      </c>
      <c r="EQ5" s="54">
        <v>23</v>
      </c>
      <c r="ER5" s="54">
        <v>24</v>
      </c>
      <c r="ES5" s="54">
        <v>25</v>
      </c>
      <c r="ET5" s="54">
        <v>26</v>
      </c>
      <c r="EU5" s="54">
        <v>27</v>
      </c>
      <c r="EV5" s="54">
        <v>28</v>
      </c>
      <c r="EW5" s="54">
        <v>29</v>
      </c>
      <c r="EX5" s="54">
        <v>30</v>
      </c>
      <c r="EY5" s="55">
        <v>31</v>
      </c>
      <c r="EZ5" s="56">
        <v>1</v>
      </c>
      <c r="FA5" s="54">
        <v>2</v>
      </c>
      <c r="FB5" s="54">
        <v>3</v>
      </c>
      <c r="FC5" s="54">
        <v>4</v>
      </c>
      <c r="FD5" s="54">
        <v>5</v>
      </c>
      <c r="FE5" s="54">
        <v>6</v>
      </c>
      <c r="FF5" s="54">
        <v>7</v>
      </c>
      <c r="FG5" s="54">
        <v>8</v>
      </c>
      <c r="FH5" s="54">
        <v>9</v>
      </c>
      <c r="FI5" s="54">
        <v>10</v>
      </c>
      <c r="FJ5" s="54">
        <v>11</v>
      </c>
      <c r="FK5" s="54">
        <v>12</v>
      </c>
      <c r="FL5" s="54">
        <v>13</v>
      </c>
      <c r="FM5" s="54">
        <v>14</v>
      </c>
      <c r="FN5" s="54">
        <v>15</v>
      </c>
      <c r="FO5" s="54">
        <v>16</v>
      </c>
      <c r="FP5" s="54">
        <v>17</v>
      </c>
      <c r="FQ5" s="54">
        <v>18</v>
      </c>
      <c r="FR5" s="54">
        <v>19</v>
      </c>
      <c r="FS5" s="54">
        <v>20</v>
      </c>
      <c r="FT5" s="54">
        <v>21</v>
      </c>
      <c r="FU5" s="54">
        <v>22</v>
      </c>
      <c r="FV5" s="54">
        <v>23</v>
      </c>
      <c r="FW5" s="54">
        <v>24</v>
      </c>
      <c r="FX5" s="54">
        <v>25</v>
      </c>
      <c r="FY5" s="54">
        <v>26</v>
      </c>
      <c r="FZ5" s="54">
        <v>27</v>
      </c>
      <c r="GA5" s="54">
        <v>28</v>
      </c>
      <c r="GB5" s="54">
        <v>29</v>
      </c>
      <c r="GC5" s="55">
        <v>30</v>
      </c>
      <c r="GD5" s="52">
        <v>1</v>
      </c>
      <c r="GE5" s="53">
        <v>2</v>
      </c>
      <c r="GF5" s="53">
        <v>3</v>
      </c>
      <c r="GG5" s="54">
        <v>4</v>
      </c>
      <c r="GH5" s="54">
        <v>5</v>
      </c>
      <c r="GI5" s="54">
        <v>6</v>
      </c>
      <c r="GJ5" s="54">
        <v>7</v>
      </c>
      <c r="GK5" s="54">
        <v>8</v>
      </c>
      <c r="GL5" s="54">
        <v>9</v>
      </c>
      <c r="GM5" s="54">
        <v>10</v>
      </c>
      <c r="GN5" s="54">
        <v>11</v>
      </c>
      <c r="GO5" s="54">
        <v>12</v>
      </c>
      <c r="GP5" s="54">
        <v>13</v>
      </c>
      <c r="GQ5" s="54">
        <v>14</v>
      </c>
      <c r="GR5" s="54">
        <v>15</v>
      </c>
      <c r="GS5" s="54">
        <v>16</v>
      </c>
      <c r="GT5" s="54">
        <v>17</v>
      </c>
      <c r="GU5" s="54">
        <v>18</v>
      </c>
      <c r="GV5" s="54">
        <v>19</v>
      </c>
      <c r="GW5" s="54">
        <v>20</v>
      </c>
      <c r="GX5" s="54">
        <v>21</v>
      </c>
      <c r="GY5" s="54">
        <v>22</v>
      </c>
      <c r="GZ5" s="54">
        <v>23</v>
      </c>
      <c r="HA5" s="54">
        <v>24</v>
      </c>
      <c r="HB5" s="54">
        <v>25</v>
      </c>
      <c r="HC5" s="54">
        <v>26</v>
      </c>
      <c r="HD5" s="54">
        <v>27</v>
      </c>
      <c r="HE5" s="54">
        <v>28</v>
      </c>
      <c r="HF5" s="54">
        <v>29</v>
      </c>
      <c r="HG5" s="54">
        <v>30</v>
      </c>
      <c r="HH5" s="55">
        <v>31</v>
      </c>
      <c r="HI5" s="52">
        <v>1</v>
      </c>
      <c r="HJ5" s="53">
        <v>2</v>
      </c>
      <c r="HK5" s="53">
        <v>3</v>
      </c>
      <c r="HL5" s="54">
        <v>4</v>
      </c>
      <c r="HM5" s="54">
        <v>5</v>
      </c>
      <c r="HN5" s="54">
        <v>6</v>
      </c>
      <c r="HO5" s="54">
        <v>7</v>
      </c>
      <c r="HP5" s="54">
        <v>8</v>
      </c>
      <c r="HQ5" s="54">
        <v>9</v>
      </c>
      <c r="HR5" s="54">
        <v>10</v>
      </c>
      <c r="HS5" s="54">
        <v>11</v>
      </c>
      <c r="HT5" s="54">
        <v>12</v>
      </c>
      <c r="HU5" s="54">
        <v>13</v>
      </c>
      <c r="HV5" s="54">
        <v>14</v>
      </c>
      <c r="HW5" s="54">
        <v>15</v>
      </c>
      <c r="HX5" s="54">
        <v>16</v>
      </c>
      <c r="HY5" s="54">
        <v>17</v>
      </c>
      <c r="HZ5" s="54">
        <v>18</v>
      </c>
      <c r="IA5" s="54">
        <v>19</v>
      </c>
      <c r="IB5" s="54">
        <v>20</v>
      </c>
      <c r="IC5" s="54">
        <v>21</v>
      </c>
      <c r="ID5" s="54">
        <v>22</v>
      </c>
      <c r="IE5" s="54">
        <v>23</v>
      </c>
      <c r="IF5" s="54">
        <v>24</v>
      </c>
      <c r="IG5" s="54">
        <v>25</v>
      </c>
      <c r="IH5" s="54">
        <v>26</v>
      </c>
      <c r="II5" s="54">
        <v>27</v>
      </c>
      <c r="IJ5" s="54">
        <v>28</v>
      </c>
      <c r="IK5" s="54">
        <v>29</v>
      </c>
      <c r="IL5" s="54">
        <v>30</v>
      </c>
      <c r="IM5" s="55">
        <v>31</v>
      </c>
      <c r="IN5" s="56">
        <v>1</v>
      </c>
      <c r="IO5" s="54">
        <v>2</v>
      </c>
      <c r="IP5" s="54">
        <v>3</v>
      </c>
      <c r="IQ5" s="54">
        <v>4</v>
      </c>
      <c r="IR5" s="54">
        <v>5</v>
      </c>
      <c r="IS5" s="54">
        <v>6</v>
      </c>
      <c r="IT5" s="54">
        <v>7</v>
      </c>
      <c r="IU5" s="54">
        <v>8</v>
      </c>
      <c r="IV5" s="54">
        <v>9</v>
      </c>
      <c r="IW5" s="54">
        <v>10</v>
      </c>
      <c r="IX5" s="54">
        <v>11</v>
      </c>
      <c r="IY5" s="54">
        <v>12</v>
      </c>
      <c r="IZ5" s="54">
        <v>13</v>
      </c>
      <c r="JA5" s="54">
        <v>14</v>
      </c>
      <c r="JB5" s="54">
        <v>15</v>
      </c>
      <c r="JC5" s="54">
        <v>16</v>
      </c>
      <c r="JD5" s="54">
        <v>17</v>
      </c>
      <c r="JE5" s="54">
        <v>18</v>
      </c>
      <c r="JF5" s="54">
        <v>19</v>
      </c>
      <c r="JG5" s="54">
        <v>20</v>
      </c>
      <c r="JH5" s="54">
        <v>21</v>
      </c>
      <c r="JI5" s="54">
        <v>22</v>
      </c>
      <c r="JJ5" s="54">
        <v>23</v>
      </c>
      <c r="JK5" s="54">
        <v>24</v>
      </c>
      <c r="JL5" s="54">
        <v>25</v>
      </c>
      <c r="JM5" s="54">
        <v>26</v>
      </c>
      <c r="JN5" s="54">
        <v>27</v>
      </c>
      <c r="JO5" s="54">
        <v>28</v>
      </c>
      <c r="JP5" s="54">
        <v>29</v>
      </c>
      <c r="JQ5" s="55">
        <v>30</v>
      </c>
      <c r="JR5" s="52">
        <v>1</v>
      </c>
      <c r="JS5" s="53">
        <v>2</v>
      </c>
      <c r="JT5" s="53">
        <v>3</v>
      </c>
      <c r="JU5" s="54">
        <v>4</v>
      </c>
      <c r="JV5" s="54">
        <v>5</v>
      </c>
      <c r="JW5" s="54">
        <v>6</v>
      </c>
      <c r="JX5" s="54">
        <v>7</v>
      </c>
      <c r="JY5" s="54">
        <v>8</v>
      </c>
      <c r="JZ5" s="54">
        <v>9</v>
      </c>
      <c r="KA5" s="54">
        <v>10</v>
      </c>
      <c r="KB5" s="54">
        <v>11</v>
      </c>
      <c r="KC5" s="54">
        <v>12</v>
      </c>
      <c r="KD5" s="54">
        <v>13</v>
      </c>
      <c r="KE5" s="54">
        <v>14</v>
      </c>
      <c r="KF5" s="54">
        <v>15</v>
      </c>
      <c r="KG5" s="54">
        <v>16</v>
      </c>
      <c r="KH5" s="54">
        <v>17</v>
      </c>
      <c r="KI5" s="54">
        <v>18</v>
      </c>
      <c r="KJ5" s="54">
        <v>19</v>
      </c>
      <c r="KK5" s="54">
        <v>20</v>
      </c>
      <c r="KL5" s="54">
        <v>21</v>
      </c>
      <c r="KM5" s="54">
        <v>22</v>
      </c>
      <c r="KN5" s="54">
        <v>23</v>
      </c>
      <c r="KO5" s="54">
        <v>24</v>
      </c>
      <c r="KP5" s="54">
        <v>25</v>
      </c>
      <c r="KQ5" s="54">
        <v>26</v>
      </c>
      <c r="KR5" s="54">
        <v>27</v>
      </c>
      <c r="KS5" s="54">
        <v>28</v>
      </c>
      <c r="KT5" s="54">
        <v>29</v>
      </c>
      <c r="KU5" s="54">
        <v>30</v>
      </c>
      <c r="KV5" s="55">
        <v>31</v>
      </c>
      <c r="KW5" s="56">
        <v>1</v>
      </c>
      <c r="KX5" s="54">
        <v>2</v>
      </c>
      <c r="KY5" s="54">
        <v>3</v>
      </c>
      <c r="KZ5" s="54">
        <v>4</v>
      </c>
      <c r="LA5" s="54">
        <v>5</v>
      </c>
      <c r="LB5" s="54">
        <v>6</v>
      </c>
      <c r="LC5" s="54">
        <v>7</v>
      </c>
      <c r="LD5" s="54">
        <v>8</v>
      </c>
      <c r="LE5" s="54">
        <v>9</v>
      </c>
      <c r="LF5" s="54">
        <v>10</v>
      </c>
      <c r="LG5" s="54">
        <v>11</v>
      </c>
      <c r="LH5" s="54">
        <v>12</v>
      </c>
      <c r="LI5" s="54">
        <v>13</v>
      </c>
      <c r="LJ5" s="54">
        <v>14</v>
      </c>
      <c r="LK5" s="54">
        <v>15</v>
      </c>
      <c r="LL5" s="54">
        <v>16</v>
      </c>
      <c r="LM5" s="54">
        <v>17</v>
      </c>
      <c r="LN5" s="54">
        <v>18</v>
      </c>
      <c r="LO5" s="54">
        <v>19</v>
      </c>
      <c r="LP5" s="54">
        <v>20</v>
      </c>
      <c r="LQ5" s="54">
        <v>21</v>
      </c>
      <c r="LR5" s="54">
        <v>22</v>
      </c>
      <c r="LS5" s="54">
        <v>23</v>
      </c>
      <c r="LT5" s="54">
        <v>24</v>
      </c>
      <c r="LU5" s="54">
        <v>25</v>
      </c>
      <c r="LV5" s="54">
        <v>26</v>
      </c>
      <c r="LW5" s="54">
        <v>27</v>
      </c>
      <c r="LX5" s="54">
        <v>28</v>
      </c>
      <c r="LY5" s="54">
        <v>29</v>
      </c>
      <c r="LZ5" s="55">
        <v>30</v>
      </c>
      <c r="MA5" s="52">
        <v>1</v>
      </c>
      <c r="MB5" s="53">
        <v>2</v>
      </c>
      <c r="MC5" s="53">
        <v>3</v>
      </c>
      <c r="MD5" s="54">
        <v>4</v>
      </c>
      <c r="ME5" s="54">
        <v>5</v>
      </c>
      <c r="MF5" s="54">
        <v>6</v>
      </c>
      <c r="MG5" s="54">
        <v>7</v>
      </c>
      <c r="MH5" s="54">
        <v>8</v>
      </c>
      <c r="MI5" s="54">
        <v>9</v>
      </c>
      <c r="MJ5" s="54">
        <v>10</v>
      </c>
      <c r="MK5" s="54">
        <v>11</v>
      </c>
      <c r="ML5" s="54">
        <v>12</v>
      </c>
      <c r="MM5" s="54">
        <v>13</v>
      </c>
      <c r="MN5" s="54">
        <v>14</v>
      </c>
      <c r="MO5" s="54">
        <v>15</v>
      </c>
      <c r="MP5" s="54">
        <v>16</v>
      </c>
      <c r="MQ5" s="54">
        <v>17</v>
      </c>
      <c r="MR5" s="54">
        <v>18</v>
      </c>
      <c r="MS5" s="54">
        <v>19</v>
      </c>
      <c r="MT5" s="54">
        <v>20</v>
      </c>
      <c r="MU5" s="54">
        <v>21</v>
      </c>
      <c r="MV5" s="54">
        <v>22</v>
      </c>
      <c r="MW5" s="54">
        <v>23</v>
      </c>
      <c r="MX5" s="54">
        <v>24</v>
      </c>
      <c r="MY5" s="54">
        <v>25</v>
      </c>
      <c r="MZ5" s="54">
        <v>26</v>
      </c>
      <c r="NA5" s="54">
        <v>27</v>
      </c>
      <c r="NB5" s="54">
        <v>28</v>
      </c>
      <c r="NC5" s="54">
        <v>29</v>
      </c>
      <c r="ND5" s="54">
        <v>30</v>
      </c>
      <c r="NE5" s="55">
        <v>31</v>
      </c>
    </row>
    <row r="6" spans="1:369" x14ac:dyDescent="0.25">
      <c r="A6" s="57"/>
      <c r="B6" s="58"/>
      <c r="C6" s="59"/>
      <c r="D6" s="59"/>
      <c r="E6" s="60"/>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2"/>
      <c r="AJ6" s="60"/>
      <c r="AK6" s="61"/>
      <c r="AL6" s="61"/>
      <c r="AM6" s="61"/>
      <c r="AN6" s="61"/>
      <c r="AO6" s="61"/>
      <c r="AP6" s="61"/>
      <c r="AQ6" s="61"/>
      <c r="AR6" s="61"/>
      <c r="AS6" s="61"/>
      <c r="AT6" s="61"/>
      <c r="AU6" s="61"/>
      <c r="AV6" s="61"/>
      <c r="AW6" s="61"/>
      <c r="AX6" s="61"/>
      <c r="AY6" s="61"/>
      <c r="AZ6" s="61"/>
      <c r="BA6" s="61"/>
      <c r="BB6" s="61"/>
      <c r="BC6" s="61"/>
      <c r="BD6" s="61"/>
      <c r="BE6" s="61"/>
      <c r="BF6" s="61"/>
      <c r="BG6" s="61"/>
      <c r="BH6" s="61"/>
      <c r="BI6" s="61"/>
      <c r="BJ6" s="61"/>
      <c r="BK6" s="62"/>
      <c r="BL6" s="60"/>
      <c r="BM6" s="61"/>
      <c r="BN6" s="61"/>
      <c r="BO6" s="61"/>
      <c r="BP6" s="61"/>
      <c r="BQ6" s="61"/>
      <c r="BR6" s="61"/>
      <c r="BS6" s="61"/>
      <c r="BT6" s="61"/>
      <c r="BU6" s="61"/>
      <c r="BV6" s="61"/>
      <c r="BW6" s="61"/>
      <c r="BX6" s="61"/>
      <c r="BY6" s="61"/>
      <c r="BZ6" s="61"/>
      <c r="CA6" s="61"/>
      <c r="CB6" s="61"/>
      <c r="CC6" s="61"/>
      <c r="CD6" s="61"/>
      <c r="CE6" s="61"/>
      <c r="CF6" s="61"/>
      <c r="CG6" s="61"/>
      <c r="CH6" s="61"/>
      <c r="CI6" s="61"/>
      <c r="CJ6" s="61"/>
      <c r="CK6" s="61"/>
      <c r="CL6" s="61"/>
      <c r="CM6" s="61"/>
      <c r="CN6" s="61"/>
      <c r="CO6" s="61"/>
      <c r="CP6" s="62"/>
      <c r="CQ6" s="60"/>
      <c r="CR6" s="61"/>
      <c r="CS6" s="61"/>
      <c r="CT6" s="61"/>
      <c r="CU6" s="61"/>
      <c r="CV6" s="61"/>
      <c r="CW6" s="61"/>
      <c r="CX6" s="61"/>
      <c r="CY6" s="61"/>
      <c r="CZ6" s="61"/>
      <c r="DA6" s="61"/>
      <c r="DB6" s="61"/>
      <c r="DC6" s="61"/>
      <c r="DD6" s="61"/>
      <c r="DE6" s="61"/>
      <c r="DF6" s="61"/>
      <c r="DG6" s="61"/>
      <c r="DH6" s="61"/>
      <c r="DI6" s="61"/>
      <c r="DJ6" s="61"/>
      <c r="DK6" s="61"/>
      <c r="DL6" s="61"/>
      <c r="DM6" s="61"/>
      <c r="DN6" s="61"/>
      <c r="DO6" s="61"/>
      <c r="DP6" s="61"/>
      <c r="DQ6" s="61"/>
      <c r="DR6" s="61"/>
      <c r="DS6" s="61"/>
      <c r="DT6" s="62"/>
      <c r="DU6" s="60"/>
      <c r="DV6" s="61"/>
      <c r="DW6" s="61"/>
      <c r="DX6" s="61"/>
      <c r="DY6" s="61"/>
      <c r="DZ6" s="61"/>
      <c r="EA6" s="61"/>
      <c r="EB6" s="61"/>
      <c r="EC6" s="61"/>
      <c r="ED6" s="61"/>
      <c r="EE6" s="61"/>
      <c r="EF6" s="61"/>
      <c r="EG6" s="61"/>
      <c r="EH6" s="61"/>
      <c r="EI6" s="61"/>
      <c r="EJ6" s="61"/>
      <c r="EK6" s="61"/>
      <c r="EL6" s="61"/>
      <c r="EM6" s="61"/>
      <c r="EN6" s="61"/>
      <c r="EO6" s="61"/>
      <c r="EP6" s="61"/>
      <c r="EQ6" s="61"/>
      <c r="ER6" s="61"/>
      <c r="ES6" s="61"/>
      <c r="ET6" s="61"/>
      <c r="EU6" s="61"/>
      <c r="EV6" s="61"/>
      <c r="EW6" s="61"/>
      <c r="EX6" s="61"/>
      <c r="EY6" s="62"/>
      <c r="EZ6" s="60"/>
      <c r="FA6" s="61"/>
      <c r="FB6" s="61"/>
      <c r="FC6" s="61"/>
      <c r="FD6" s="61"/>
      <c r="FE6" s="61"/>
      <c r="FF6" s="61"/>
      <c r="FG6" s="61"/>
      <c r="FH6" s="61"/>
      <c r="FI6" s="61"/>
      <c r="FJ6" s="61"/>
      <c r="FK6" s="61"/>
      <c r="FL6" s="61"/>
      <c r="FM6" s="61"/>
      <c r="FN6" s="61"/>
      <c r="FO6" s="61"/>
      <c r="FP6" s="61"/>
      <c r="FQ6" s="61"/>
      <c r="FR6" s="61"/>
      <c r="FS6" s="61"/>
      <c r="FT6" s="61"/>
      <c r="FU6" s="61"/>
      <c r="FV6" s="61"/>
      <c r="FW6" s="61"/>
      <c r="FX6" s="61"/>
      <c r="FY6" s="61"/>
      <c r="FZ6" s="61"/>
      <c r="GA6" s="61"/>
      <c r="GB6" s="61"/>
      <c r="GC6" s="62"/>
      <c r="GD6" s="60"/>
      <c r="GE6" s="61"/>
      <c r="GF6" s="61"/>
      <c r="GG6" s="61"/>
      <c r="GH6" s="61"/>
      <c r="GI6" s="61"/>
      <c r="GJ6" s="61"/>
      <c r="GK6" s="61"/>
      <c r="GL6" s="61"/>
      <c r="GM6" s="61"/>
      <c r="GN6" s="61"/>
      <c r="GO6" s="61"/>
      <c r="GP6" s="61"/>
      <c r="GQ6" s="61"/>
      <c r="GR6" s="61"/>
      <c r="GS6" s="61"/>
      <c r="GT6" s="61"/>
      <c r="GU6" s="61"/>
      <c r="GV6" s="61"/>
      <c r="GW6" s="61"/>
      <c r="GX6" s="61"/>
      <c r="GY6" s="61"/>
      <c r="GZ6" s="61"/>
      <c r="HA6" s="61"/>
      <c r="HB6" s="61"/>
      <c r="HC6" s="61"/>
      <c r="HD6" s="61"/>
      <c r="HE6" s="61"/>
      <c r="HF6" s="61"/>
      <c r="HG6" s="61"/>
      <c r="HH6" s="62"/>
      <c r="HI6" s="60"/>
      <c r="HJ6" s="61"/>
      <c r="HK6" s="61"/>
      <c r="HL6" s="61"/>
      <c r="HM6" s="61"/>
      <c r="HN6" s="61"/>
      <c r="HO6" s="61"/>
      <c r="HP6" s="61"/>
      <c r="HQ6" s="61"/>
      <c r="HR6" s="61"/>
      <c r="HS6" s="61"/>
      <c r="HT6" s="61"/>
      <c r="HU6" s="61"/>
      <c r="HV6" s="61"/>
      <c r="HW6" s="61"/>
      <c r="HX6" s="61"/>
      <c r="HY6" s="61"/>
      <c r="HZ6" s="61"/>
      <c r="IA6" s="61"/>
      <c r="IB6" s="61"/>
      <c r="IC6" s="61"/>
      <c r="ID6" s="61"/>
      <c r="IE6" s="61"/>
      <c r="IF6" s="61"/>
      <c r="IG6" s="61"/>
      <c r="IH6" s="61"/>
      <c r="II6" s="61"/>
      <c r="IJ6" s="61"/>
      <c r="IK6" s="61"/>
      <c r="IL6" s="61"/>
      <c r="IM6" s="62"/>
      <c r="IN6" s="60"/>
      <c r="IO6" s="61"/>
      <c r="IP6" s="61"/>
      <c r="IQ6" s="61"/>
      <c r="IR6" s="61"/>
      <c r="IS6" s="61"/>
      <c r="IT6" s="61"/>
      <c r="IU6" s="61"/>
      <c r="IV6" s="61"/>
      <c r="IW6" s="61"/>
      <c r="IX6" s="61"/>
      <c r="IY6" s="61"/>
      <c r="IZ6" s="61"/>
      <c r="JA6" s="61"/>
      <c r="JB6" s="61"/>
      <c r="JC6" s="61"/>
      <c r="JD6" s="61"/>
      <c r="JE6" s="61"/>
      <c r="JF6" s="61"/>
      <c r="JG6" s="61"/>
      <c r="JH6" s="61"/>
      <c r="JI6" s="61"/>
      <c r="JJ6" s="61"/>
      <c r="JK6" s="61"/>
      <c r="JL6" s="61"/>
      <c r="JM6" s="61"/>
      <c r="JN6" s="61"/>
      <c r="JO6" s="61"/>
      <c r="JP6" s="61"/>
      <c r="JQ6" s="62"/>
      <c r="JR6" s="60"/>
      <c r="JS6" s="61"/>
      <c r="JT6" s="61"/>
      <c r="JU6" s="61"/>
      <c r="JV6" s="61"/>
      <c r="JW6" s="61"/>
      <c r="JX6" s="61"/>
      <c r="JY6" s="61"/>
      <c r="JZ6" s="61"/>
      <c r="KA6" s="61"/>
      <c r="KB6" s="61"/>
      <c r="KC6" s="61"/>
      <c r="KD6" s="61"/>
      <c r="KE6" s="61"/>
      <c r="KF6" s="61"/>
      <c r="KG6" s="61"/>
      <c r="KH6" s="61"/>
      <c r="KI6" s="61"/>
      <c r="KJ6" s="61"/>
      <c r="KK6" s="61"/>
      <c r="KL6" s="61"/>
      <c r="KM6" s="61"/>
      <c r="KN6" s="61"/>
      <c r="KO6" s="61"/>
      <c r="KP6" s="61"/>
      <c r="KQ6" s="61"/>
      <c r="KR6" s="61"/>
      <c r="KS6" s="61"/>
      <c r="KT6" s="61"/>
      <c r="KU6" s="61"/>
      <c r="KV6" s="62"/>
      <c r="KW6" s="60"/>
      <c r="KX6" s="61"/>
      <c r="KY6" s="61"/>
      <c r="KZ6" s="61"/>
      <c r="LA6" s="61"/>
      <c r="LB6" s="61"/>
      <c r="LC6" s="61"/>
      <c r="LD6" s="61"/>
      <c r="LE6" s="61"/>
      <c r="LF6" s="61"/>
      <c r="LG6" s="61"/>
      <c r="LH6" s="61"/>
      <c r="LI6" s="61"/>
      <c r="LJ6" s="61"/>
      <c r="LK6" s="61"/>
      <c r="LL6" s="61"/>
      <c r="LM6" s="61"/>
      <c r="LN6" s="61"/>
      <c r="LO6" s="61"/>
      <c r="LP6" s="61"/>
      <c r="LQ6" s="61"/>
      <c r="LR6" s="61"/>
      <c r="LS6" s="61"/>
      <c r="LT6" s="61"/>
      <c r="LU6" s="61"/>
      <c r="LV6" s="61"/>
      <c r="LW6" s="61"/>
      <c r="LX6" s="61"/>
      <c r="LY6" s="61"/>
      <c r="LZ6" s="62"/>
      <c r="MA6" s="60"/>
      <c r="MB6" s="61"/>
      <c r="MC6" s="61"/>
      <c r="MD6" s="61"/>
      <c r="ME6" s="61"/>
      <c r="MF6" s="61"/>
      <c r="MG6" s="61"/>
      <c r="MH6" s="61"/>
      <c r="MI6" s="61"/>
      <c r="MJ6" s="61"/>
      <c r="MK6" s="61"/>
      <c r="ML6" s="61"/>
      <c r="MM6" s="61"/>
      <c r="MN6" s="61"/>
      <c r="MO6" s="61"/>
      <c r="MP6" s="61"/>
      <c r="MQ6" s="61"/>
      <c r="MR6" s="61"/>
      <c r="MS6" s="61"/>
      <c r="MT6" s="61"/>
      <c r="MU6" s="61"/>
      <c r="MV6" s="61"/>
      <c r="MW6" s="61"/>
      <c r="MX6" s="61"/>
      <c r="MY6" s="61"/>
      <c r="MZ6" s="61"/>
      <c r="NA6" s="61"/>
      <c r="NB6" s="61"/>
      <c r="NC6" s="61"/>
      <c r="ND6" s="61"/>
      <c r="NE6" s="62"/>
    </row>
    <row r="7" spans="1:369" x14ac:dyDescent="0.25">
      <c r="A7" s="63"/>
      <c r="B7" s="64"/>
      <c r="C7" s="65"/>
      <c r="D7" s="65"/>
      <c r="E7" s="66"/>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8"/>
      <c r="AJ7" s="66"/>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8"/>
      <c r="BL7" s="66"/>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8"/>
      <c r="CQ7" s="66"/>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8"/>
      <c r="DU7" s="66"/>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8"/>
      <c r="EZ7" s="66"/>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8"/>
      <c r="GD7" s="66"/>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8"/>
      <c r="HI7" s="66"/>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8"/>
      <c r="IN7" s="66"/>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8"/>
      <c r="JR7" s="66"/>
      <c r="JS7" s="67"/>
      <c r="JT7" s="67"/>
      <c r="JU7" s="67"/>
      <c r="JV7" s="67"/>
      <c r="JW7" s="67"/>
      <c r="JX7" s="67"/>
      <c r="JY7" s="67"/>
      <c r="JZ7" s="67"/>
      <c r="KA7" s="67"/>
      <c r="KB7" s="67"/>
      <c r="KC7" s="67"/>
      <c r="KD7" s="67"/>
      <c r="KE7" s="67"/>
      <c r="KF7" s="67"/>
      <c r="KG7" s="67"/>
      <c r="KH7" s="67"/>
      <c r="KI7" s="67"/>
      <c r="KJ7" s="67"/>
      <c r="KK7" s="67"/>
      <c r="KL7" s="67"/>
      <c r="KM7" s="67"/>
      <c r="KN7" s="67"/>
      <c r="KO7" s="67"/>
      <c r="KP7" s="67"/>
      <c r="KQ7" s="67"/>
      <c r="KR7" s="67"/>
      <c r="KS7" s="67"/>
      <c r="KT7" s="67"/>
      <c r="KU7" s="67"/>
      <c r="KV7" s="68"/>
      <c r="KW7" s="66"/>
      <c r="KX7" s="67"/>
      <c r="KY7" s="67"/>
      <c r="KZ7" s="67"/>
      <c r="LA7" s="67"/>
      <c r="LB7" s="67"/>
      <c r="LC7" s="67"/>
      <c r="LD7" s="67"/>
      <c r="LE7" s="67"/>
      <c r="LF7" s="67"/>
      <c r="LG7" s="67"/>
      <c r="LH7" s="67"/>
      <c r="LI7" s="67"/>
      <c r="LJ7" s="67"/>
      <c r="LK7" s="67"/>
      <c r="LL7" s="67"/>
      <c r="LM7" s="67"/>
      <c r="LN7" s="67"/>
      <c r="LO7" s="67"/>
      <c r="LP7" s="67"/>
      <c r="LQ7" s="67"/>
      <c r="LR7" s="67"/>
      <c r="LS7" s="67"/>
      <c r="LT7" s="67"/>
      <c r="LU7" s="67"/>
      <c r="LV7" s="67"/>
      <c r="LW7" s="67"/>
      <c r="LX7" s="67"/>
      <c r="LY7" s="67"/>
      <c r="LZ7" s="68"/>
      <c r="MA7" s="66"/>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8"/>
    </row>
    <row r="8" spans="1:369" x14ac:dyDescent="0.25">
      <c r="A8" s="57"/>
      <c r="B8" s="64"/>
      <c r="C8" s="65"/>
      <c r="D8" s="65"/>
      <c r="E8" s="66"/>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8"/>
      <c r="AJ8" s="66"/>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8"/>
      <c r="BL8" s="66"/>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8"/>
      <c r="CQ8" s="66"/>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8"/>
      <c r="DU8" s="66"/>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8"/>
      <c r="EZ8" s="66"/>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8"/>
      <c r="GD8" s="66"/>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8"/>
      <c r="HI8" s="66"/>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8"/>
      <c r="IN8" s="66"/>
      <c r="IO8" s="67"/>
      <c r="IP8" s="67"/>
      <c r="IQ8" s="67"/>
      <c r="IR8" s="67"/>
      <c r="IS8" s="67"/>
      <c r="IT8" s="67"/>
      <c r="IU8" s="67"/>
      <c r="IV8" s="67"/>
      <c r="IW8" s="67"/>
      <c r="IX8" s="67"/>
      <c r="IY8" s="67"/>
      <c r="IZ8" s="67"/>
      <c r="JA8" s="67"/>
      <c r="JB8" s="67"/>
      <c r="JC8" s="67"/>
      <c r="JD8" s="67"/>
      <c r="JE8" s="67"/>
      <c r="JF8" s="67"/>
      <c r="JG8" s="67"/>
      <c r="JH8" s="67"/>
      <c r="JI8" s="67"/>
      <c r="JJ8" s="67"/>
      <c r="JK8" s="67"/>
      <c r="JL8" s="67"/>
      <c r="JM8" s="67"/>
      <c r="JN8" s="67"/>
      <c r="JO8" s="67"/>
      <c r="JP8" s="67"/>
      <c r="JQ8" s="68"/>
      <c r="JR8" s="66"/>
      <c r="JS8" s="67"/>
      <c r="JT8" s="67"/>
      <c r="JU8" s="67"/>
      <c r="JV8" s="67"/>
      <c r="JW8" s="67"/>
      <c r="JX8" s="67"/>
      <c r="JY8" s="67"/>
      <c r="JZ8" s="67"/>
      <c r="KA8" s="67"/>
      <c r="KB8" s="67"/>
      <c r="KC8" s="67"/>
      <c r="KD8" s="67"/>
      <c r="KE8" s="67"/>
      <c r="KF8" s="67"/>
      <c r="KG8" s="67"/>
      <c r="KH8" s="67"/>
      <c r="KI8" s="67"/>
      <c r="KJ8" s="67"/>
      <c r="KK8" s="67"/>
      <c r="KL8" s="67"/>
      <c r="KM8" s="67"/>
      <c r="KN8" s="67"/>
      <c r="KO8" s="67"/>
      <c r="KP8" s="67"/>
      <c r="KQ8" s="67"/>
      <c r="KR8" s="67"/>
      <c r="KS8" s="67"/>
      <c r="KT8" s="67"/>
      <c r="KU8" s="67"/>
      <c r="KV8" s="68"/>
      <c r="KW8" s="66"/>
      <c r="KX8" s="67"/>
      <c r="KY8" s="67"/>
      <c r="KZ8" s="67"/>
      <c r="LA8" s="67"/>
      <c r="LB8" s="67"/>
      <c r="LC8" s="67"/>
      <c r="LD8" s="67"/>
      <c r="LE8" s="67"/>
      <c r="LF8" s="67"/>
      <c r="LG8" s="67"/>
      <c r="LH8" s="67"/>
      <c r="LI8" s="67"/>
      <c r="LJ8" s="67"/>
      <c r="LK8" s="67"/>
      <c r="LL8" s="67"/>
      <c r="LM8" s="67"/>
      <c r="LN8" s="67"/>
      <c r="LO8" s="67"/>
      <c r="LP8" s="67"/>
      <c r="LQ8" s="67"/>
      <c r="LR8" s="67"/>
      <c r="LS8" s="67"/>
      <c r="LT8" s="67"/>
      <c r="LU8" s="67"/>
      <c r="LV8" s="67"/>
      <c r="LW8" s="67"/>
      <c r="LX8" s="67"/>
      <c r="LY8" s="67"/>
      <c r="LZ8" s="68"/>
      <c r="MA8" s="66"/>
      <c r="MB8" s="67"/>
      <c r="MC8" s="67"/>
      <c r="MD8" s="67"/>
      <c r="ME8" s="67"/>
      <c r="MF8" s="67"/>
      <c r="MG8" s="67"/>
      <c r="MH8" s="67"/>
      <c r="MI8" s="67"/>
      <c r="MJ8" s="67"/>
      <c r="MK8" s="67"/>
      <c r="ML8" s="67"/>
      <c r="MM8" s="67"/>
      <c r="MN8" s="67"/>
      <c r="MO8" s="67"/>
      <c r="MP8" s="67"/>
      <c r="MQ8" s="67"/>
      <c r="MR8" s="67"/>
      <c r="MS8" s="67"/>
      <c r="MT8" s="67"/>
      <c r="MU8" s="67"/>
      <c r="MV8" s="67"/>
      <c r="MW8" s="67"/>
      <c r="MX8" s="67"/>
      <c r="MY8" s="67"/>
      <c r="MZ8" s="67"/>
      <c r="NA8" s="67"/>
      <c r="NB8" s="67"/>
      <c r="NC8" s="67"/>
      <c r="ND8" s="67"/>
      <c r="NE8" s="68"/>
    </row>
    <row r="9" spans="1:369" x14ac:dyDescent="0.25">
      <c r="A9" s="63"/>
      <c r="B9" s="64"/>
      <c r="C9" s="65"/>
      <c r="D9" s="65"/>
      <c r="E9" s="66"/>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8"/>
      <c r="AJ9" s="66"/>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8"/>
      <c r="BL9" s="66"/>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8"/>
      <c r="CQ9" s="66"/>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8"/>
      <c r="DU9" s="66"/>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8"/>
      <c r="EZ9" s="66"/>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8"/>
      <c r="GD9" s="66"/>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8"/>
      <c r="HI9" s="66"/>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8"/>
      <c r="IN9" s="66"/>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8"/>
      <c r="JR9" s="66"/>
      <c r="JS9" s="67"/>
      <c r="JT9" s="67"/>
      <c r="JU9" s="67"/>
      <c r="JV9" s="67"/>
      <c r="JW9" s="67"/>
      <c r="JX9" s="67"/>
      <c r="JY9" s="67"/>
      <c r="JZ9" s="67"/>
      <c r="KA9" s="67"/>
      <c r="KB9" s="67"/>
      <c r="KC9" s="67"/>
      <c r="KD9" s="67"/>
      <c r="KE9" s="67"/>
      <c r="KF9" s="67"/>
      <c r="KG9" s="67"/>
      <c r="KH9" s="67"/>
      <c r="KI9" s="67"/>
      <c r="KJ9" s="67"/>
      <c r="KK9" s="67"/>
      <c r="KL9" s="67"/>
      <c r="KM9" s="67"/>
      <c r="KN9" s="67"/>
      <c r="KO9" s="67"/>
      <c r="KP9" s="67"/>
      <c r="KQ9" s="67"/>
      <c r="KR9" s="67"/>
      <c r="KS9" s="67"/>
      <c r="KT9" s="67"/>
      <c r="KU9" s="67"/>
      <c r="KV9" s="68"/>
      <c r="KW9" s="66"/>
      <c r="KX9" s="67"/>
      <c r="KY9" s="67"/>
      <c r="KZ9" s="67"/>
      <c r="LA9" s="67"/>
      <c r="LB9" s="67"/>
      <c r="LC9" s="67"/>
      <c r="LD9" s="67"/>
      <c r="LE9" s="67"/>
      <c r="LF9" s="67"/>
      <c r="LG9" s="67"/>
      <c r="LH9" s="67"/>
      <c r="LI9" s="67"/>
      <c r="LJ9" s="67"/>
      <c r="LK9" s="67"/>
      <c r="LL9" s="67"/>
      <c r="LM9" s="67"/>
      <c r="LN9" s="67"/>
      <c r="LO9" s="67"/>
      <c r="LP9" s="67"/>
      <c r="LQ9" s="67"/>
      <c r="LR9" s="67"/>
      <c r="LS9" s="67"/>
      <c r="LT9" s="67"/>
      <c r="LU9" s="67"/>
      <c r="LV9" s="67"/>
      <c r="LW9" s="67"/>
      <c r="LX9" s="67"/>
      <c r="LY9" s="67"/>
      <c r="LZ9" s="68"/>
      <c r="MA9" s="66"/>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8"/>
    </row>
    <row r="10" spans="1:369" x14ac:dyDescent="0.25">
      <c r="A10" s="57"/>
      <c r="B10" s="64"/>
      <c r="C10" s="65"/>
      <c r="D10" s="65"/>
      <c r="E10" s="66"/>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8"/>
      <c r="AJ10" s="66"/>
      <c r="AK10" s="67"/>
      <c r="AL10" s="67"/>
      <c r="AM10" s="67"/>
      <c r="AN10" s="67"/>
      <c r="AO10" s="67"/>
      <c r="AP10" s="67"/>
      <c r="AQ10" s="67"/>
      <c r="AR10" s="67"/>
      <c r="AS10" s="67"/>
      <c r="AT10" s="67"/>
      <c r="AU10" s="67"/>
      <c r="AV10" s="67"/>
      <c r="AW10" s="67"/>
      <c r="AX10" s="67"/>
      <c r="AY10" s="67"/>
      <c r="AZ10" s="67"/>
      <c r="BA10" s="67"/>
      <c r="BB10" s="67"/>
      <c r="BC10" s="67"/>
      <c r="BD10" s="67"/>
      <c r="BE10" s="67"/>
      <c r="BF10" s="67"/>
      <c r="BG10" s="67"/>
      <c r="BH10" s="67"/>
      <c r="BI10" s="67"/>
      <c r="BJ10" s="67"/>
      <c r="BK10" s="68"/>
      <c r="BL10" s="66"/>
      <c r="BM10" s="67"/>
      <c r="BN10" s="67"/>
      <c r="BO10" s="67"/>
      <c r="BP10" s="67"/>
      <c r="BQ10" s="67"/>
      <c r="BR10" s="67"/>
      <c r="BS10" s="67"/>
      <c r="BT10" s="67"/>
      <c r="BU10" s="67"/>
      <c r="BV10" s="67"/>
      <c r="BW10" s="67"/>
      <c r="BX10" s="67"/>
      <c r="BY10" s="67"/>
      <c r="BZ10" s="67"/>
      <c r="CA10" s="67"/>
      <c r="CB10" s="67"/>
      <c r="CC10" s="67"/>
      <c r="CD10" s="67"/>
      <c r="CE10" s="67"/>
      <c r="CF10" s="67"/>
      <c r="CG10" s="67"/>
      <c r="CH10" s="67"/>
      <c r="CI10" s="67"/>
      <c r="CJ10" s="67"/>
      <c r="CK10" s="67"/>
      <c r="CL10" s="67"/>
      <c r="CM10" s="67"/>
      <c r="CN10" s="67"/>
      <c r="CO10" s="67"/>
      <c r="CP10" s="68"/>
      <c r="CQ10" s="66"/>
      <c r="CR10" s="67"/>
      <c r="CS10" s="67"/>
      <c r="CT10" s="67"/>
      <c r="CU10" s="67"/>
      <c r="CV10" s="67"/>
      <c r="CW10" s="67"/>
      <c r="CX10" s="67"/>
      <c r="CY10" s="67"/>
      <c r="CZ10" s="67"/>
      <c r="DA10" s="67"/>
      <c r="DB10" s="67"/>
      <c r="DC10" s="67"/>
      <c r="DD10" s="67"/>
      <c r="DE10" s="67"/>
      <c r="DF10" s="67"/>
      <c r="DG10" s="67"/>
      <c r="DH10" s="67"/>
      <c r="DI10" s="67"/>
      <c r="DJ10" s="67"/>
      <c r="DK10" s="67"/>
      <c r="DL10" s="67"/>
      <c r="DM10" s="67"/>
      <c r="DN10" s="67"/>
      <c r="DO10" s="67"/>
      <c r="DP10" s="67"/>
      <c r="DQ10" s="67"/>
      <c r="DR10" s="67"/>
      <c r="DS10" s="67"/>
      <c r="DT10" s="68"/>
      <c r="DU10" s="66"/>
      <c r="DV10" s="67"/>
      <c r="DW10" s="67"/>
      <c r="DX10" s="67"/>
      <c r="DY10" s="67"/>
      <c r="DZ10" s="67"/>
      <c r="EA10" s="67"/>
      <c r="EB10" s="67"/>
      <c r="EC10" s="67"/>
      <c r="ED10" s="67"/>
      <c r="EE10" s="67"/>
      <c r="EF10" s="67"/>
      <c r="EG10" s="67"/>
      <c r="EH10" s="67"/>
      <c r="EI10" s="67"/>
      <c r="EJ10" s="67"/>
      <c r="EK10" s="67"/>
      <c r="EL10" s="67"/>
      <c r="EM10" s="67"/>
      <c r="EN10" s="67"/>
      <c r="EO10" s="67"/>
      <c r="EP10" s="67"/>
      <c r="EQ10" s="67"/>
      <c r="ER10" s="67"/>
      <c r="ES10" s="67"/>
      <c r="ET10" s="67"/>
      <c r="EU10" s="67"/>
      <c r="EV10" s="67"/>
      <c r="EW10" s="67"/>
      <c r="EX10" s="67"/>
      <c r="EY10" s="68"/>
      <c r="EZ10" s="66"/>
      <c r="FA10" s="67"/>
      <c r="FB10" s="67"/>
      <c r="FC10" s="67"/>
      <c r="FD10" s="67"/>
      <c r="FE10" s="67"/>
      <c r="FF10" s="67"/>
      <c r="FG10" s="67"/>
      <c r="FH10" s="67"/>
      <c r="FI10" s="67"/>
      <c r="FJ10" s="67"/>
      <c r="FK10" s="67"/>
      <c r="FL10" s="67"/>
      <c r="FM10" s="67"/>
      <c r="FN10" s="67"/>
      <c r="FO10" s="67"/>
      <c r="FP10" s="67"/>
      <c r="FQ10" s="67"/>
      <c r="FR10" s="67"/>
      <c r="FS10" s="67"/>
      <c r="FT10" s="67"/>
      <c r="FU10" s="67"/>
      <c r="FV10" s="67"/>
      <c r="FW10" s="67"/>
      <c r="FX10" s="67"/>
      <c r="FY10" s="67"/>
      <c r="FZ10" s="67"/>
      <c r="GA10" s="67"/>
      <c r="GB10" s="67"/>
      <c r="GC10" s="68"/>
      <c r="GD10" s="66"/>
      <c r="GE10" s="67"/>
      <c r="GF10" s="67"/>
      <c r="GG10" s="67"/>
      <c r="GH10" s="67"/>
      <c r="GI10" s="67"/>
      <c r="GJ10" s="67"/>
      <c r="GK10" s="67"/>
      <c r="GL10" s="67"/>
      <c r="GM10" s="67"/>
      <c r="GN10" s="67"/>
      <c r="GO10" s="67"/>
      <c r="GP10" s="67"/>
      <c r="GQ10" s="67"/>
      <c r="GR10" s="67"/>
      <c r="GS10" s="67"/>
      <c r="GT10" s="67"/>
      <c r="GU10" s="67"/>
      <c r="GV10" s="67"/>
      <c r="GW10" s="67"/>
      <c r="GX10" s="67"/>
      <c r="GY10" s="67"/>
      <c r="GZ10" s="67"/>
      <c r="HA10" s="67"/>
      <c r="HB10" s="67"/>
      <c r="HC10" s="67"/>
      <c r="HD10" s="67"/>
      <c r="HE10" s="67"/>
      <c r="HF10" s="67"/>
      <c r="HG10" s="67"/>
      <c r="HH10" s="68"/>
      <c r="HI10" s="66"/>
      <c r="HJ10" s="67"/>
      <c r="HK10" s="67"/>
      <c r="HL10" s="67"/>
      <c r="HM10" s="67"/>
      <c r="HN10" s="67"/>
      <c r="HO10" s="67"/>
      <c r="HP10" s="67"/>
      <c r="HQ10" s="67"/>
      <c r="HR10" s="67"/>
      <c r="HS10" s="67"/>
      <c r="HT10" s="67"/>
      <c r="HU10" s="67"/>
      <c r="HV10" s="67"/>
      <c r="HW10" s="67"/>
      <c r="HX10" s="67"/>
      <c r="HY10" s="67"/>
      <c r="HZ10" s="67"/>
      <c r="IA10" s="67"/>
      <c r="IB10" s="67"/>
      <c r="IC10" s="67"/>
      <c r="ID10" s="67"/>
      <c r="IE10" s="67"/>
      <c r="IF10" s="67"/>
      <c r="IG10" s="67"/>
      <c r="IH10" s="67"/>
      <c r="II10" s="67"/>
      <c r="IJ10" s="67"/>
      <c r="IK10" s="67"/>
      <c r="IL10" s="67"/>
      <c r="IM10" s="68"/>
      <c r="IN10" s="66"/>
      <c r="IO10" s="67"/>
      <c r="IP10" s="67"/>
      <c r="IQ10" s="67"/>
      <c r="IR10" s="67"/>
      <c r="IS10" s="67"/>
      <c r="IT10" s="67"/>
      <c r="IU10" s="67"/>
      <c r="IV10" s="67"/>
      <c r="IW10" s="67"/>
      <c r="IX10" s="67"/>
      <c r="IY10" s="67"/>
      <c r="IZ10" s="67"/>
      <c r="JA10" s="67"/>
      <c r="JB10" s="67"/>
      <c r="JC10" s="67"/>
      <c r="JD10" s="67"/>
      <c r="JE10" s="67"/>
      <c r="JF10" s="67"/>
      <c r="JG10" s="67"/>
      <c r="JH10" s="67"/>
      <c r="JI10" s="67"/>
      <c r="JJ10" s="67"/>
      <c r="JK10" s="67"/>
      <c r="JL10" s="67"/>
      <c r="JM10" s="67"/>
      <c r="JN10" s="67"/>
      <c r="JO10" s="67"/>
      <c r="JP10" s="67"/>
      <c r="JQ10" s="68"/>
      <c r="JR10" s="66"/>
      <c r="JS10" s="67"/>
      <c r="JT10" s="67"/>
      <c r="JU10" s="67"/>
      <c r="JV10" s="67"/>
      <c r="JW10" s="67"/>
      <c r="JX10" s="67"/>
      <c r="JY10" s="67"/>
      <c r="JZ10" s="67"/>
      <c r="KA10" s="67"/>
      <c r="KB10" s="67"/>
      <c r="KC10" s="67"/>
      <c r="KD10" s="67"/>
      <c r="KE10" s="67"/>
      <c r="KF10" s="67"/>
      <c r="KG10" s="67"/>
      <c r="KH10" s="67"/>
      <c r="KI10" s="67"/>
      <c r="KJ10" s="67"/>
      <c r="KK10" s="67"/>
      <c r="KL10" s="67"/>
      <c r="KM10" s="67"/>
      <c r="KN10" s="67"/>
      <c r="KO10" s="67"/>
      <c r="KP10" s="67"/>
      <c r="KQ10" s="67"/>
      <c r="KR10" s="67"/>
      <c r="KS10" s="67"/>
      <c r="KT10" s="67"/>
      <c r="KU10" s="67"/>
      <c r="KV10" s="68"/>
      <c r="KW10" s="66"/>
      <c r="KX10" s="67"/>
      <c r="KY10" s="67"/>
      <c r="KZ10" s="67"/>
      <c r="LA10" s="67"/>
      <c r="LB10" s="67"/>
      <c r="LC10" s="67"/>
      <c r="LD10" s="67"/>
      <c r="LE10" s="67"/>
      <c r="LF10" s="67"/>
      <c r="LG10" s="67"/>
      <c r="LH10" s="67"/>
      <c r="LI10" s="67"/>
      <c r="LJ10" s="67"/>
      <c r="LK10" s="67"/>
      <c r="LL10" s="67"/>
      <c r="LM10" s="67"/>
      <c r="LN10" s="67"/>
      <c r="LO10" s="67"/>
      <c r="LP10" s="67"/>
      <c r="LQ10" s="67"/>
      <c r="LR10" s="67"/>
      <c r="LS10" s="67"/>
      <c r="LT10" s="67"/>
      <c r="LU10" s="67"/>
      <c r="LV10" s="67"/>
      <c r="LW10" s="67"/>
      <c r="LX10" s="67"/>
      <c r="LY10" s="67"/>
      <c r="LZ10" s="68"/>
      <c r="MA10" s="66"/>
      <c r="MB10" s="67"/>
      <c r="MC10" s="67"/>
      <c r="MD10" s="67"/>
      <c r="ME10" s="67"/>
      <c r="MF10" s="67"/>
      <c r="MG10" s="67"/>
      <c r="MH10" s="67"/>
      <c r="MI10" s="67"/>
      <c r="MJ10" s="67"/>
      <c r="MK10" s="67"/>
      <c r="ML10" s="67"/>
      <c r="MM10" s="67"/>
      <c r="MN10" s="67"/>
      <c r="MO10" s="67"/>
      <c r="MP10" s="67"/>
      <c r="MQ10" s="67"/>
      <c r="MR10" s="67"/>
      <c r="MS10" s="67"/>
      <c r="MT10" s="67"/>
      <c r="MU10" s="67"/>
      <c r="MV10" s="67"/>
      <c r="MW10" s="67"/>
      <c r="MX10" s="67"/>
      <c r="MY10" s="67"/>
      <c r="MZ10" s="67"/>
      <c r="NA10" s="67"/>
      <c r="NB10" s="67"/>
      <c r="NC10" s="67"/>
      <c r="ND10" s="67"/>
      <c r="NE10" s="68"/>
    </row>
    <row r="11" spans="1:369" x14ac:dyDescent="0.25">
      <c r="A11" s="63"/>
      <c r="B11" s="64"/>
      <c r="C11" s="65"/>
      <c r="D11" s="65"/>
      <c r="E11" s="66"/>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8"/>
      <c r="AJ11" s="66"/>
      <c r="AK11" s="67"/>
      <c r="AL11" s="67"/>
      <c r="AM11" s="67"/>
      <c r="AN11" s="67"/>
      <c r="AO11" s="67"/>
      <c r="AP11" s="67"/>
      <c r="AQ11" s="67"/>
      <c r="AR11" s="67"/>
      <c r="AS11" s="67"/>
      <c r="AT11" s="67"/>
      <c r="AU11" s="67"/>
      <c r="AV11" s="67"/>
      <c r="AW11" s="67"/>
      <c r="AX11" s="67"/>
      <c r="AY11" s="67"/>
      <c r="AZ11" s="67"/>
      <c r="BA11" s="67"/>
      <c r="BB11" s="67"/>
      <c r="BC11" s="67"/>
      <c r="BD11" s="67"/>
      <c r="BE11" s="67"/>
      <c r="BF11" s="67"/>
      <c r="BG11" s="67"/>
      <c r="BH11" s="67"/>
      <c r="BI11" s="67"/>
      <c r="BJ11" s="67"/>
      <c r="BK11" s="68"/>
      <c r="BL11" s="66"/>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7"/>
      <c r="CN11" s="67"/>
      <c r="CO11" s="67"/>
      <c r="CP11" s="68"/>
      <c r="CQ11" s="66"/>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8"/>
      <c r="DU11" s="66"/>
      <c r="DV11" s="67"/>
      <c r="DW11" s="67"/>
      <c r="DX11" s="67"/>
      <c r="DY11" s="67"/>
      <c r="DZ11" s="67"/>
      <c r="EA11" s="67"/>
      <c r="EB11" s="67"/>
      <c r="EC11" s="67"/>
      <c r="ED11" s="67"/>
      <c r="EE11" s="67"/>
      <c r="EF11" s="67"/>
      <c r="EG11" s="67"/>
      <c r="EH11" s="67"/>
      <c r="EI11" s="67"/>
      <c r="EJ11" s="67"/>
      <c r="EK11" s="67"/>
      <c r="EL11" s="67"/>
      <c r="EM11" s="67"/>
      <c r="EN11" s="67"/>
      <c r="EO11" s="67"/>
      <c r="EP11" s="67"/>
      <c r="EQ11" s="67"/>
      <c r="ER11" s="67"/>
      <c r="ES11" s="67"/>
      <c r="ET11" s="67"/>
      <c r="EU11" s="67"/>
      <c r="EV11" s="67"/>
      <c r="EW11" s="67"/>
      <c r="EX11" s="67"/>
      <c r="EY11" s="68"/>
      <c r="EZ11" s="66"/>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7"/>
      <c r="FZ11" s="67"/>
      <c r="GA11" s="67"/>
      <c r="GB11" s="67"/>
      <c r="GC11" s="68"/>
      <c r="GD11" s="66"/>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8"/>
      <c r="HI11" s="66"/>
      <c r="HJ11" s="67"/>
      <c r="HK11" s="67"/>
      <c r="HL11" s="67"/>
      <c r="HM11" s="67"/>
      <c r="HN11" s="67"/>
      <c r="HO11" s="67"/>
      <c r="HP11" s="67"/>
      <c r="HQ11" s="67"/>
      <c r="HR11" s="67"/>
      <c r="HS11" s="67"/>
      <c r="HT11" s="67"/>
      <c r="HU11" s="67"/>
      <c r="HV11" s="67"/>
      <c r="HW11" s="67"/>
      <c r="HX11" s="67"/>
      <c r="HY11" s="67"/>
      <c r="HZ11" s="67"/>
      <c r="IA11" s="67"/>
      <c r="IB11" s="67"/>
      <c r="IC11" s="67"/>
      <c r="ID11" s="67"/>
      <c r="IE11" s="67"/>
      <c r="IF11" s="67"/>
      <c r="IG11" s="67"/>
      <c r="IH11" s="67"/>
      <c r="II11" s="67"/>
      <c r="IJ11" s="67"/>
      <c r="IK11" s="67"/>
      <c r="IL11" s="67"/>
      <c r="IM11" s="68"/>
      <c r="IN11" s="66"/>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8"/>
      <c r="JR11" s="66"/>
      <c r="JS11" s="67"/>
      <c r="JT11" s="67"/>
      <c r="JU11" s="67"/>
      <c r="JV11" s="67"/>
      <c r="JW11" s="67"/>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8"/>
      <c r="KW11" s="66"/>
      <c r="KX11" s="67"/>
      <c r="KY11" s="67"/>
      <c r="KZ11" s="67"/>
      <c r="LA11" s="67"/>
      <c r="LB11" s="67"/>
      <c r="LC11" s="67"/>
      <c r="LD11" s="67"/>
      <c r="LE11" s="67"/>
      <c r="LF11" s="67"/>
      <c r="LG11" s="67"/>
      <c r="LH11" s="67"/>
      <c r="LI11" s="67"/>
      <c r="LJ11" s="67"/>
      <c r="LK11" s="67"/>
      <c r="LL11" s="67"/>
      <c r="LM11" s="67"/>
      <c r="LN11" s="67"/>
      <c r="LO11" s="67"/>
      <c r="LP11" s="67"/>
      <c r="LQ11" s="67"/>
      <c r="LR11" s="67"/>
      <c r="LS11" s="67"/>
      <c r="LT11" s="67"/>
      <c r="LU11" s="67"/>
      <c r="LV11" s="67"/>
      <c r="LW11" s="67"/>
      <c r="LX11" s="67"/>
      <c r="LY11" s="67"/>
      <c r="LZ11" s="68"/>
      <c r="MA11" s="66"/>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8"/>
    </row>
    <row r="12" spans="1:369" x14ac:dyDescent="0.25">
      <c r="A12" s="57"/>
      <c r="B12" s="64"/>
      <c r="C12" s="65"/>
      <c r="D12" s="65"/>
      <c r="E12" s="66"/>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8"/>
      <c r="AJ12" s="66"/>
      <c r="AK12" s="67"/>
      <c r="AL12" s="67"/>
      <c r="AM12" s="67"/>
      <c r="AN12" s="67"/>
      <c r="AO12" s="67"/>
      <c r="AP12" s="67"/>
      <c r="AQ12" s="67"/>
      <c r="AR12" s="67"/>
      <c r="AS12" s="67"/>
      <c r="AT12" s="67"/>
      <c r="AU12" s="67"/>
      <c r="AV12" s="67"/>
      <c r="AW12" s="67"/>
      <c r="AX12" s="67"/>
      <c r="AY12" s="67"/>
      <c r="AZ12" s="67"/>
      <c r="BA12" s="67"/>
      <c r="BB12" s="67"/>
      <c r="BC12" s="67"/>
      <c r="BD12" s="67"/>
      <c r="BE12" s="67"/>
      <c r="BF12" s="67"/>
      <c r="BG12" s="67"/>
      <c r="BH12" s="67"/>
      <c r="BI12" s="67"/>
      <c r="BJ12" s="67"/>
      <c r="BK12" s="68"/>
      <c r="BL12" s="66"/>
      <c r="BM12" s="67"/>
      <c r="BN12" s="67"/>
      <c r="BO12" s="67"/>
      <c r="BP12" s="67"/>
      <c r="BQ12" s="67"/>
      <c r="BR12" s="67"/>
      <c r="BS12" s="67"/>
      <c r="BT12" s="67"/>
      <c r="BU12" s="67"/>
      <c r="BV12" s="67"/>
      <c r="BW12" s="67"/>
      <c r="BX12" s="67"/>
      <c r="BY12" s="67"/>
      <c r="BZ12" s="67"/>
      <c r="CA12" s="67"/>
      <c r="CB12" s="67"/>
      <c r="CC12" s="67"/>
      <c r="CD12" s="67"/>
      <c r="CE12" s="67"/>
      <c r="CF12" s="67"/>
      <c r="CG12" s="67"/>
      <c r="CH12" s="67"/>
      <c r="CI12" s="67"/>
      <c r="CJ12" s="67"/>
      <c r="CK12" s="67"/>
      <c r="CL12" s="67"/>
      <c r="CM12" s="67"/>
      <c r="CN12" s="67"/>
      <c r="CO12" s="67"/>
      <c r="CP12" s="68"/>
      <c r="CQ12" s="66"/>
      <c r="CR12" s="67"/>
      <c r="CS12" s="67"/>
      <c r="CT12" s="67"/>
      <c r="CU12" s="67"/>
      <c r="CV12" s="67"/>
      <c r="CW12" s="67"/>
      <c r="CX12" s="67"/>
      <c r="CY12" s="67"/>
      <c r="CZ12" s="67"/>
      <c r="DA12" s="67"/>
      <c r="DB12" s="67"/>
      <c r="DC12" s="67"/>
      <c r="DD12" s="67"/>
      <c r="DE12" s="67"/>
      <c r="DF12" s="67"/>
      <c r="DG12" s="67"/>
      <c r="DH12" s="67"/>
      <c r="DI12" s="67"/>
      <c r="DJ12" s="67"/>
      <c r="DK12" s="67"/>
      <c r="DL12" s="67"/>
      <c r="DM12" s="67"/>
      <c r="DN12" s="67"/>
      <c r="DO12" s="67"/>
      <c r="DP12" s="67"/>
      <c r="DQ12" s="67"/>
      <c r="DR12" s="67"/>
      <c r="DS12" s="67"/>
      <c r="DT12" s="68"/>
      <c r="DU12" s="66"/>
      <c r="DV12" s="67"/>
      <c r="DW12" s="67"/>
      <c r="DX12" s="67"/>
      <c r="DY12" s="67"/>
      <c r="DZ12" s="67"/>
      <c r="EA12" s="67"/>
      <c r="EB12" s="67"/>
      <c r="EC12" s="67"/>
      <c r="ED12" s="67"/>
      <c r="EE12" s="67"/>
      <c r="EF12" s="67"/>
      <c r="EG12" s="67"/>
      <c r="EH12" s="67"/>
      <c r="EI12" s="67"/>
      <c r="EJ12" s="67"/>
      <c r="EK12" s="67"/>
      <c r="EL12" s="67"/>
      <c r="EM12" s="67"/>
      <c r="EN12" s="67"/>
      <c r="EO12" s="67"/>
      <c r="EP12" s="67"/>
      <c r="EQ12" s="67"/>
      <c r="ER12" s="67"/>
      <c r="ES12" s="67"/>
      <c r="ET12" s="67"/>
      <c r="EU12" s="67"/>
      <c r="EV12" s="67"/>
      <c r="EW12" s="67"/>
      <c r="EX12" s="67"/>
      <c r="EY12" s="68"/>
      <c r="EZ12" s="66"/>
      <c r="FA12" s="67"/>
      <c r="FB12" s="67"/>
      <c r="FC12" s="67"/>
      <c r="FD12" s="67"/>
      <c r="FE12" s="67"/>
      <c r="FF12" s="67"/>
      <c r="FG12" s="67"/>
      <c r="FH12" s="67"/>
      <c r="FI12" s="67"/>
      <c r="FJ12" s="67"/>
      <c r="FK12" s="67"/>
      <c r="FL12" s="67"/>
      <c r="FM12" s="67"/>
      <c r="FN12" s="67"/>
      <c r="FO12" s="67"/>
      <c r="FP12" s="67"/>
      <c r="FQ12" s="67"/>
      <c r="FR12" s="67"/>
      <c r="FS12" s="67"/>
      <c r="FT12" s="67"/>
      <c r="FU12" s="67"/>
      <c r="FV12" s="67"/>
      <c r="FW12" s="67"/>
      <c r="FX12" s="67"/>
      <c r="FY12" s="67"/>
      <c r="FZ12" s="67"/>
      <c r="GA12" s="67"/>
      <c r="GB12" s="67"/>
      <c r="GC12" s="68"/>
      <c r="GD12" s="66"/>
      <c r="GE12" s="67"/>
      <c r="GF12" s="67"/>
      <c r="GG12" s="67"/>
      <c r="GH12" s="67"/>
      <c r="GI12" s="67"/>
      <c r="GJ12" s="67"/>
      <c r="GK12" s="67"/>
      <c r="GL12" s="67"/>
      <c r="GM12" s="67"/>
      <c r="GN12" s="67"/>
      <c r="GO12" s="67"/>
      <c r="GP12" s="67"/>
      <c r="GQ12" s="67"/>
      <c r="GR12" s="67"/>
      <c r="GS12" s="67"/>
      <c r="GT12" s="67"/>
      <c r="GU12" s="67"/>
      <c r="GV12" s="67"/>
      <c r="GW12" s="67"/>
      <c r="GX12" s="67"/>
      <c r="GY12" s="67"/>
      <c r="GZ12" s="67"/>
      <c r="HA12" s="67"/>
      <c r="HB12" s="67"/>
      <c r="HC12" s="67"/>
      <c r="HD12" s="67"/>
      <c r="HE12" s="67"/>
      <c r="HF12" s="67"/>
      <c r="HG12" s="67"/>
      <c r="HH12" s="68"/>
      <c r="HI12" s="66"/>
      <c r="HJ12" s="67"/>
      <c r="HK12" s="67"/>
      <c r="HL12" s="67"/>
      <c r="HM12" s="67"/>
      <c r="HN12" s="67"/>
      <c r="HO12" s="67"/>
      <c r="HP12" s="67"/>
      <c r="HQ12" s="67"/>
      <c r="HR12" s="67"/>
      <c r="HS12" s="67"/>
      <c r="HT12" s="67"/>
      <c r="HU12" s="67"/>
      <c r="HV12" s="67"/>
      <c r="HW12" s="67"/>
      <c r="HX12" s="67"/>
      <c r="HY12" s="67"/>
      <c r="HZ12" s="67"/>
      <c r="IA12" s="67"/>
      <c r="IB12" s="67"/>
      <c r="IC12" s="67"/>
      <c r="ID12" s="67"/>
      <c r="IE12" s="67"/>
      <c r="IF12" s="67"/>
      <c r="IG12" s="67"/>
      <c r="IH12" s="67"/>
      <c r="II12" s="67"/>
      <c r="IJ12" s="67"/>
      <c r="IK12" s="67"/>
      <c r="IL12" s="67"/>
      <c r="IM12" s="68"/>
      <c r="IN12" s="66"/>
      <c r="IO12" s="67"/>
      <c r="IP12" s="67"/>
      <c r="IQ12" s="67"/>
      <c r="IR12" s="67"/>
      <c r="IS12" s="67"/>
      <c r="IT12" s="67"/>
      <c r="IU12" s="67"/>
      <c r="IV12" s="67"/>
      <c r="IW12" s="67"/>
      <c r="IX12" s="67"/>
      <c r="IY12" s="67"/>
      <c r="IZ12" s="67"/>
      <c r="JA12" s="67"/>
      <c r="JB12" s="67"/>
      <c r="JC12" s="67"/>
      <c r="JD12" s="67"/>
      <c r="JE12" s="67"/>
      <c r="JF12" s="67"/>
      <c r="JG12" s="67"/>
      <c r="JH12" s="67"/>
      <c r="JI12" s="67"/>
      <c r="JJ12" s="67"/>
      <c r="JK12" s="67"/>
      <c r="JL12" s="67"/>
      <c r="JM12" s="67"/>
      <c r="JN12" s="67"/>
      <c r="JO12" s="67"/>
      <c r="JP12" s="67"/>
      <c r="JQ12" s="68"/>
      <c r="JR12" s="66"/>
      <c r="JS12" s="67"/>
      <c r="JT12" s="67"/>
      <c r="JU12" s="67"/>
      <c r="JV12" s="67"/>
      <c r="JW12" s="67"/>
      <c r="JX12" s="67"/>
      <c r="JY12" s="67"/>
      <c r="JZ12" s="67"/>
      <c r="KA12" s="67"/>
      <c r="KB12" s="67"/>
      <c r="KC12" s="67"/>
      <c r="KD12" s="67"/>
      <c r="KE12" s="67"/>
      <c r="KF12" s="67"/>
      <c r="KG12" s="67"/>
      <c r="KH12" s="67"/>
      <c r="KI12" s="67"/>
      <c r="KJ12" s="67"/>
      <c r="KK12" s="67"/>
      <c r="KL12" s="67"/>
      <c r="KM12" s="67"/>
      <c r="KN12" s="67"/>
      <c r="KO12" s="67"/>
      <c r="KP12" s="67"/>
      <c r="KQ12" s="67"/>
      <c r="KR12" s="67"/>
      <c r="KS12" s="67"/>
      <c r="KT12" s="67"/>
      <c r="KU12" s="67"/>
      <c r="KV12" s="68"/>
      <c r="KW12" s="66"/>
      <c r="KX12" s="67"/>
      <c r="KY12" s="67"/>
      <c r="KZ12" s="67"/>
      <c r="LA12" s="67"/>
      <c r="LB12" s="67"/>
      <c r="LC12" s="67"/>
      <c r="LD12" s="67"/>
      <c r="LE12" s="67"/>
      <c r="LF12" s="67"/>
      <c r="LG12" s="67"/>
      <c r="LH12" s="67"/>
      <c r="LI12" s="67"/>
      <c r="LJ12" s="67"/>
      <c r="LK12" s="67"/>
      <c r="LL12" s="67"/>
      <c r="LM12" s="67"/>
      <c r="LN12" s="67"/>
      <c r="LO12" s="67"/>
      <c r="LP12" s="67"/>
      <c r="LQ12" s="67"/>
      <c r="LR12" s="67"/>
      <c r="LS12" s="67"/>
      <c r="LT12" s="67"/>
      <c r="LU12" s="67"/>
      <c r="LV12" s="67"/>
      <c r="LW12" s="67"/>
      <c r="LX12" s="67"/>
      <c r="LY12" s="67"/>
      <c r="LZ12" s="68"/>
      <c r="MA12" s="66"/>
      <c r="MB12" s="67"/>
      <c r="MC12" s="67"/>
      <c r="MD12" s="67"/>
      <c r="ME12" s="67"/>
      <c r="MF12" s="67"/>
      <c r="MG12" s="67"/>
      <c r="MH12" s="67"/>
      <c r="MI12" s="67"/>
      <c r="MJ12" s="67"/>
      <c r="MK12" s="67"/>
      <c r="ML12" s="67"/>
      <c r="MM12" s="67"/>
      <c r="MN12" s="67"/>
      <c r="MO12" s="67"/>
      <c r="MP12" s="67"/>
      <c r="MQ12" s="67"/>
      <c r="MR12" s="67"/>
      <c r="MS12" s="67"/>
      <c r="MT12" s="67"/>
      <c r="MU12" s="67"/>
      <c r="MV12" s="67"/>
      <c r="MW12" s="67"/>
      <c r="MX12" s="67"/>
      <c r="MY12" s="67"/>
      <c r="MZ12" s="67"/>
      <c r="NA12" s="67"/>
      <c r="NB12" s="67"/>
      <c r="NC12" s="67"/>
      <c r="ND12" s="67"/>
      <c r="NE12" s="68"/>
    </row>
    <row r="13" spans="1:369" x14ac:dyDescent="0.25">
      <c r="A13" s="63"/>
      <c r="B13" s="64"/>
      <c r="C13" s="65"/>
      <c r="D13" s="65"/>
      <c r="E13" s="66"/>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8"/>
      <c r="AJ13" s="66"/>
      <c r="AK13" s="67"/>
      <c r="AL13" s="67"/>
      <c r="AM13" s="67"/>
      <c r="AN13" s="67"/>
      <c r="AO13" s="67"/>
      <c r="AP13" s="67"/>
      <c r="AQ13" s="67"/>
      <c r="AR13" s="67"/>
      <c r="AS13" s="67"/>
      <c r="AT13" s="67"/>
      <c r="AU13" s="67"/>
      <c r="AV13" s="67"/>
      <c r="AW13" s="67"/>
      <c r="AX13" s="67"/>
      <c r="AY13" s="67"/>
      <c r="AZ13" s="67"/>
      <c r="BA13" s="67"/>
      <c r="BB13" s="67"/>
      <c r="BC13" s="67"/>
      <c r="BD13" s="67"/>
      <c r="BE13" s="67"/>
      <c r="BF13" s="67"/>
      <c r="BG13" s="67"/>
      <c r="BH13" s="67"/>
      <c r="BI13" s="67"/>
      <c r="BJ13" s="67"/>
      <c r="BK13" s="68"/>
      <c r="BL13" s="66"/>
      <c r="BM13" s="67"/>
      <c r="BN13" s="67"/>
      <c r="BO13" s="67"/>
      <c r="BP13" s="67"/>
      <c r="BQ13" s="67"/>
      <c r="BR13" s="67"/>
      <c r="BS13" s="67"/>
      <c r="BT13" s="67"/>
      <c r="BU13" s="67"/>
      <c r="BV13" s="67"/>
      <c r="BW13" s="67"/>
      <c r="BX13" s="67"/>
      <c r="BY13" s="67"/>
      <c r="BZ13" s="67"/>
      <c r="CA13" s="67"/>
      <c r="CB13" s="67"/>
      <c r="CC13" s="67"/>
      <c r="CD13" s="67"/>
      <c r="CE13" s="67"/>
      <c r="CF13" s="67"/>
      <c r="CG13" s="67"/>
      <c r="CH13" s="67"/>
      <c r="CI13" s="67"/>
      <c r="CJ13" s="67"/>
      <c r="CK13" s="67"/>
      <c r="CL13" s="67"/>
      <c r="CM13" s="67"/>
      <c r="CN13" s="67"/>
      <c r="CO13" s="67"/>
      <c r="CP13" s="68"/>
      <c r="CQ13" s="66"/>
      <c r="CR13" s="67"/>
      <c r="CS13" s="67"/>
      <c r="CT13" s="67"/>
      <c r="CU13" s="67"/>
      <c r="CV13" s="67"/>
      <c r="CW13" s="67"/>
      <c r="CX13" s="67"/>
      <c r="CY13" s="67"/>
      <c r="CZ13" s="67"/>
      <c r="DA13" s="67"/>
      <c r="DB13" s="67"/>
      <c r="DC13" s="67"/>
      <c r="DD13" s="67"/>
      <c r="DE13" s="67"/>
      <c r="DF13" s="67"/>
      <c r="DG13" s="67"/>
      <c r="DH13" s="67"/>
      <c r="DI13" s="67"/>
      <c r="DJ13" s="67"/>
      <c r="DK13" s="67"/>
      <c r="DL13" s="67"/>
      <c r="DM13" s="67"/>
      <c r="DN13" s="67"/>
      <c r="DO13" s="67"/>
      <c r="DP13" s="67"/>
      <c r="DQ13" s="67"/>
      <c r="DR13" s="67"/>
      <c r="DS13" s="67"/>
      <c r="DT13" s="68"/>
      <c r="DU13" s="66"/>
      <c r="DV13" s="67"/>
      <c r="DW13" s="67"/>
      <c r="DX13" s="67"/>
      <c r="DY13" s="67"/>
      <c r="DZ13" s="67"/>
      <c r="EA13" s="67"/>
      <c r="EB13" s="67"/>
      <c r="EC13" s="67"/>
      <c r="ED13" s="67"/>
      <c r="EE13" s="67"/>
      <c r="EF13" s="67"/>
      <c r="EG13" s="67"/>
      <c r="EH13" s="67"/>
      <c r="EI13" s="67"/>
      <c r="EJ13" s="67"/>
      <c r="EK13" s="67"/>
      <c r="EL13" s="67"/>
      <c r="EM13" s="67"/>
      <c r="EN13" s="67"/>
      <c r="EO13" s="67"/>
      <c r="EP13" s="67"/>
      <c r="EQ13" s="67"/>
      <c r="ER13" s="67"/>
      <c r="ES13" s="67"/>
      <c r="ET13" s="67"/>
      <c r="EU13" s="67"/>
      <c r="EV13" s="67"/>
      <c r="EW13" s="67"/>
      <c r="EX13" s="67"/>
      <c r="EY13" s="68"/>
      <c r="EZ13" s="66"/>
      <c r="FA13" s="67"/>
      <c r="FB13" s="67"/>
      <c r="FC13" s="67"/>
      <c r="FD13" s="67"/>
      <c r="FE13" s="67"/>
      <c r="FF13" s="67"/>
      <c r="FG13" s="67"/>
      <c r="FH13" s="67"/>
      <c r="FI13" s="67"/>
      <c r="FJ13" s="67"/>
      <c r="FK13" s="67"/>
      <c r="FL13" s="67"/>
      <c r="FM13" s="67"/>
      <c r="FN13" s="67"/>
      <c r="FO13" s="67"/>
      <c r="FP13" s="67"/>
      <c r="FQ13" s="67"/>
      <c r="FR13" s="67"/>
      <c r="FS13" s="67"/>
      <c r="FT13" s="67"/>
      <c r="FU13" s="67"/>
      <c r="FV13" s="67"/>
      <c r="FW13" s="67"/>
      <c r="FX13" s="67"/>
      <c r="FY13" s="67"/>
      <c r="FZ13" s="67"/>
      <c r="GA13" s="67"/>
      <c r="GB13" s="67"/>
      <c r="GC13" s="68"/>
      <c r="GD13" s="66"/>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H13" s="68"/>
      <c r="HI13" s="66"/>
      <c r="HJ13" s="67"/>
      <c r="HK13" s="67"/>
      <c r="HL13" s="67"/>
      <c r="HM13" s="67"/>
      <c r="HN13" s="67"/>
      <c r="HO13" s="67"/>
      <c r="HP13" s="67"/>
      <c r="HQ13" s="67"/>
      <c r="HR13" s="67"/>
      <c r="HS13" s="67"/>
      <c r="HT13" s="67"/>
      <c r="HU13" s="67"/>
      <c r="HV13" s="67"/>
      <c r="HW13" s="67"/>
      <c r="HX13" s="67"/>
      <c r="HY13" s="67"/>
      <c r="HZ13" s="67"/>
      <c r="IA13" s="67"/>
      <c r="IB13" s="67"/>
      <c r="IC13" s="67"/>
      <c r="ID13" s="67"/>
      <c r="IE13" s="67"/>
      <c r="IF13" s="67"/>
      <c r="IG13" s="67"/>
      <c r="IH13" s="67"/>
      <c r="II13" s="67"/>
      <c r="IJ13" s="67"/>
      <c r="IK13" s="67"/>
      <c r="IL13" s="67"/>
      <c r="IM13" s="68"/>
      <c r="IN13" s="66"/>
      <c r="IO13" s="67"/>
      <c r="IP13" s="67"/>
      <c r="IQ13" s="67"/>
      <c r="IR13" s="67"/>
      <c r="IS13" s="67"/>
      <c r="IT13" s="67"/>
      <c r="IU13" s="67"/>
      <c r="IV13" s="67"/>
      <c r="IW13" s="67"/>
      <c r="IX13" s="67"/>
      <c r="IY13" s="67"/>
      <c r="IZ13" s="67"/>
      <c r="JA13" s="67"/>
      <c r="JB13" s="67"/>
      <c r="JC13" s="67"/>
      <c r="JD13" s="67"/>
      <c r="JE13" s="67"/>
      <c r="JF13" s="67"/>
      <c r="JG13" s="67"/>
      <c r="JH13" s="67"/>
      <c r="JI13" s="67"/>
      <c r="JJ13" s="67"/>
      <c r="JK13" s="67"/>
      <c r="JL13" s="67"/>
      <c r="JM13" s="67"/>
      <c r="JN13" s="67"/>
      <c r="JO13" s="67"/>
      <c r="JP13" s="67"/>
      <c r="JQ13" s="68"/>
      <c r="JR13" s="66"/>
      <c r="JS13" s="67"/>
      <c r="JT13" s="67"/>
      <c r="JU13" s="67"/>
      <c r="JV13" s="67"/>
      <c r="JW13" s="67"/>
      <c r="JX13" s="67"/>
      <c r="JY13" s="67"/>
      <c r="JZ13" s="67"/>
      <c r="KA13" s="67"/>
      <c r="KB13" s="67"/>
      <c r="KC13" s="67"/>
      <c r="KD13" s="67"/>
      <c r="KE13" s="67"/>
      <c r="KF13" s="67"/>
      <c r="KG13" s="67"/>
      <c r="KH13" s="67"/>
      <c r="KI13" s="67"/>
      <c r="KJ13" s="67"/>
      <c r="KK13" s="67"/>
      <c r="KL13" s="67"/>
      <c r="KM13" s="67"/>
      <c r="KN13" s="67"/>
      <c r="KO13" s="67"/>
      <c r="KP13" s="67"/>
      <c r="KQ13" s="67"/>
      <c r="KR13" s="67"/>
      <c r="KS13" s="67"/>
      <c r="KT13" s="67"/>
      <c r="KU13" s="67"/>
      <c r="KV13" s="68"/>
      <c r="KW13" s="66"/>
      <c r="KX13" s="67"/>
      <c r="KY13" s="67"/>
      <c r="KZ13" s="67"/>
      <c r="LA13" s="67"/>
      <c r="LB13" s="67"/>
      <c r="LC13" s="67"/>
      <c r="LD13" s="67"/>
      <c r="LE13" s="67"/>
      <c r="LF13" s="67"/>
      <c r="LG13" s="67"/>
      <c r="LH13" s="67"/>
      <c r="LI13" s="67"/>
      <c r="LJ13" s="67"/>
      <c r="LK13" s="67"/>
      <c r="LL13" s="67"/>
      <c r="LM13" s="67"/>
      <c r="LN13" s="67"/>
      <c r="LO13" s="67"/>
      <c r="LP13" s="67"/>
      <c r="LQ13" s="67"/>
      <c r="LR13" s="67"/>
      <c r="LS13" s="67"/>
      <c r="LT13" s="67"/>
      <c r="LU13" s="67"/>
      <c r="LV13" s="67"/>
      <c r="LW13" s="67"/>
      <c r="LX13" s="67"/>
      <c r="LY13" s="67"/>
      <c r="LZ13" s="68"/>
      <c r="MA13" s="66"/>
      <c r="MB13" s="67"/>
      <c r="MC13" s="67"/>
      <c r="MD13" s="67"/>
      <c r="ME13" s="67"/>
      <c r="MF13" s="67"/>
      <c r="MG13" s="67"/>
      <c r="MH13" s="67"/>
      <c r="MI13" s="67"/>
      <c r="MJ13" s="67"/>
      <c r="MK13" s="67"/>
      <c r="ML13" s="67"/>
      <c r="MM13" s="67"/>
      <c r="MN13" s="67"/>
      <c r="MO13" s="67"/>
      <c r="MP13" s="67"/>
      <c r="MQ13" s="67"/>
      <c r="MR13" s="67"/>
      <c r="MS13" s="67"/>
      <c r="MT13" s="67"/>
      <c r="MU13" s="67"/>
      <c r="MV13" s="67"/>
      <c r="MW13" s="67"/>
      <c r="MX13" s="67"/>
      <c r="MY13" s="67"/>
      <c r="MZ13" s="67"/>
      <c r="NA13" s="67"/>
      <c r="NB13" s="67"/>
      <c r="NC13" s="67"/>
      <c r="ND13" s="67"/>
      <c r="NE13" s="68"/>
    </row>
    <row r="14" spans="1:369" x14ac:dyDescent="0.25">
      <c r="A14" s="57"/>
      <c r="B14" s="64"/>
      <c r="C14" s="65"/>
      <c r="D14" s="65"/>
      <c r="E14" s="66"/>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8"/>
      <c r="AJ14" s="66"/>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8"/>
      <c r="BL14" s="66"/>
      <c r="BM14" s="67"/>
      <c r="BN14" s="67"/>
      <c r="BO14" s="67"/>
      <c r="BP14" s="67"/>
      <c r="BQ14" s="67"/>
      <c r="BR14" s="67"/>
      <c r="BS14" s="67"/>
      <c r="BT14" s="67"/>
      <c r="BU14" s="67"/>
      <c r="BV14" s="67"/>
      <c r="BW14" s="67"/>
      <c r="BX14" s="67"/>
      <c r="BY14" s="67"/>
      <c r="BZ14" s="67"/>
      <c r="CA14" s="67"/>
      <c r="CB14" s="67"/>
      <c r="CC14" s="67"/>
      <c r="CD14" s="67"/>
      <c r="CE14" s="67"/>
      <c r="CF14" s="67"/>
      <c r="CG14" s="67"/>
      <c r="CH14" s="67"/>
      <c r="CI14" s="67"/>
      <c r="CJ14" s="67"/>
      <c r="CK14" s="67"/>
      <c r="CL14" s="67"/>
      <c r="CM14" s="67"/>
      <c r="CN14" s="67"/>
      <c r="CO14" s="67"/>
      <c r="CP14" s="68"/>
      <c r="CQ14" s="66"/>
      <c r="CR14" s="67"/>
      <c r="CS14" s="67"/>
      <c r="CT14" s="67"/>
      <c r="CU14" s="67"/>
      <c r="CV14" s="67"/>
      <c r="CW14" s="67"/>
      <c r="CX14" s="67"/>
      <c r="CY14" s="67"/>
      <c r="CZ14" s="67"/>
      <c r="DA14" s="67"/>
      <c r="DB14" s="67"/>
      <c r="DC14" s="67"/>
      <c r="DD14" s="67"/>
      <c r="DE14" s="67"/>
      <c r="DF14" s="67"/>
      <c r="DG14" s="67"/>
      <c r="DH14" s="67"/>
      <c r="DI14" s="67"/>
      <c r="DJ14" s="67"/>
      <c r="DK14" s="67"/>
      <c r="DL14" s="67"/>
      <c r="DM14" s="67"/>
      <c r="DN14" s="67"/>
      <c r="DO14" s="67"/>
      <c r="DP14" s="67"/>
      <c r="DQ14" s="67"/>
      <c r="DR14" s="67"/>
      <c r="DS14" s="67"/>
      <c r="DT14" s="68"/>
      <c r="DU14" s="66"/>
      <c r="DV14" s="67"/>
      <c r="DW14" s="67"/>
      <c r="DX14" s="67"/>
      <c r="DY14" s="67"/>
      <c r="DZ14" s="67"/>
      <c r="EA14" s="67"/>
      <c r="EB14" s="67"/>
      <c r="EC14" s="67"/>
      <c r="ED14" s="67"/>
      <c r="EE14" s="67"/>
      <c r="EF14" s="67"/>
      <c r="EG14" s="67"/>
      <c r="EH14" s="67"/>
      <c r="EI14" s="67"/>
      <c r="EJ14" s="67"/>
      <c r="EK14" s="67"/>
      <c r="EL14" s="67"/>
      <c r="EM14" s="67"/>
      <c r="EN14" s="67"/>
      <c r="EO14" s="67"/>
      <c r="EP14" s="67"/>
      <c r="EQ14" s="67"/>
      <c r="ER14" s="67"/>
      <c r="ES14" s="67"/>
      <c r="ET14" s="67"/>
      <c r="EU14" s="67"/>
      <c r="EV14" s="67"/>
      <c r="EW14" s="67"/>
      <c r="EX14" s="67"/>
      <c r="EY14" s="68"/>
      <c r="EZ14" s="66"/>
      <c r="FA14" s="67"/>
      <c r="FB14" s="67"/>
      <c r="FC14" s="67"/>
      <c r="FD14" s="67"/>
      <c r="FE14" s="67"/>
      <c r="FF14" s="67"/>
      <c r="FG14" s="67"/>
      <c r="FH14" s="67"/>
      <c r="FI14" s="67"/>
      <c r="FJ14" s="67"/>
      <c r="FK14" s="67"/>
      <c r="FL14" s="67"/>
      <c r="FM14" s="67"/>
      <c r="FN14" s="67"/>
      <c r="FO14" s="67"/>
      <c r="FP14" s="67"/>
      <c r="FQ14" s="67"/>
      <c r="FR14" s="67"/>
      <c r="FS14" s="67"/>
      <c r="FT14" s="67"/>
      <c r="FU14" s="67"/>
      <c r="FV14" s="67"/>
      <c r="FW14" s="67"/>
      <c r="FX14" s="67"/>
      <c r="FY14" s="67"/>
      <c r="FZ14" s="67"/>
      <c r="GA14" s="67"/>
      <c r="GB14" s="67"/>
      <c r="GC14" s="68"/>
      <c r="GD14" s="66"/>
      <c r="GE14" s="67"/>
      <c r="GF14" s="67"/>
      <c r="GG14" s="67"/>
      <c r="GH14" s="67"/>
      <c r="GI14" s="67"/>
      <c r="GJ14" s="67"/>
      <c r="GK14" s="67"/>
      <c r="GL14" s="67"/>
      <c r="GM14" s="67"/>
      <c r="GN14" s="67"/>
      <c r="GO14" s="67"/>
      <c r="GP14" s="67"/>
      <c r="GQ14" s="67"/>
      <c r="GR14" s="67"/>
      <c r="GS14" s="67"/>
      <c r="GT14" s="67"/>
      <c r="GU14" s="67"/>
      <c r="GV14" s="67"/>
      <c r="GW14" s="67"/>
      <c r="GX14" s="67"/>
      <c r="GY14" s="67"/>
      <c r="GZ14" s="67"/>
      <c r="HA14" s="67"/>
      <c r="HB14" s="67"/>
      <c r="HC14" s="67"/>
      <c r="HD14" s="67"/>
      <c r="HE14" s="67"/>
      <c r="HF14" s="67"/>
      <c r="HG14" s="67"/>
      <c r="HH14" s="68"/>
      <c r="HI14" s="66"/>
      <c r="HJ14" s="67"/>
      <c r="HK14" s="67"/>
      <c r="HL14" s="67"/>
      <c r="HM14" s="67"/>
      <c r="HN14" s="67"/>
      <c r="HO14" s="67"/>
      <c r="HP14" s="67"/>
      <c r="HQ14" s="67"/>
      <c r="HR14" s="67"/>
      <c r="HS14" s="67"/>
      <c r="HT14" s="67"/>
      <c r="HU14" s="67"/>
      <c r="HV14" s="67"/>
      <c r="HW14" s="67"/>
      <c r="HX14" s="67"/>
      <c r="HY14" s="67"/>
      <c r="HZ14" s="67"/>
      <c r="IA14" s="67"/>
      <c r="IB14" s="67"/>
      <c r="IC14" s="67"/>
      <c r="ID14" s="67"/>
      <c r="IE14" s="67"/>
      <c r="IF14" s="67"/>
      <c r="IG14" s="67"/>
      <c r="IH14" s="67"/>
      <c r="II14" s="67"/>
      <c r="IJ14" s="67"/>
      <c r="IK14" s="67"/>
      <c r="IL14" s="67"/>
      <c r="IM14" s="68"/>
      <c r="IN14" s="66"/>
      <c r="IO14" s="67"/>
      <c r="IP14" s="67"/>
      <c r="IQ14" s="67"/>
      <c r="IR14" s="67"/>
      <c r="IS14" s="67"/>
      <c r="IT14" s="67"/>
      <c r="IU14" s="67"/>
      <c r="IV14" s="67"/>
      <c r="IW14" s="67"/>
      <c r="IX14" s="67"/>
      <c r="IY14" s="67"/>
      <c r="IZ14" s="67"/>
      <c r="JA14" s="67"/>
      <c r="JB14" s="67"/>
      <c r="JC14" s="67"/>
      <c r="JD14" s="67"/>
      <c r="JE14" s="67"/>
      <c r="JF14" s="67"/>
      <c r="JG14" s="67"/>
      <c r="JH14" s="67"/>
      <c r="JI14" s="67"/>
      <c r="JJ14" s="67"/>
      <c r="JK14" s="67"/>
      <c r="JL14" s="67"/>
      <c r="JM14" s="67"/>
      <c r="JN14" s="67"/>
      <c r="JO14" s="67"/>
      <c r="JP14" s="67"/>
      <c r="JQ14" s="68"/>
      <c r="JR14" s="66"/>
      <c r="JS14" s="67"/>
      <c r="JT14" s="67"/>
      <c r="JU14" s="67"/>
      <c r="JV14" s="67"/>
      <c r="JW14" s="67"/>
      <c r="JX14" s="67"/>
      <c r="JY14" s="67"/>
      <c r="JZ14" s="67"/>
      <c r="KA14" s="67"/>
      <c r="KB14" s="67"/>
      <c r="KC14" s="67"/>
      <c r="KD14" s="67"/>
      <c r="KE14" s="67"/>
      <c r="KF14" s="67"/>
      <c r="KG14" s="67"/>
      <c r="KH14" s="67"/>
      <c r="KI14" s="67"/>
      <c r="KJ14" s="67"/>
      <c r="KK14" s="67"/>
      <c r="KL14" s="67"/>
      <c r="KM14" s="67"/>
      <c r="KN14" s="67"/>
      <c r="KO14" s="67"/>
      <c r="KP14" s="67"/>
      <c r="KQ14" s="67"/>
      <c r="KR14" s="67"/>
      <c r="KS14" s="67"/>
      <c r="KT14" s="67"/>
      <c r="KU14" s="67"/>
      <c r="KV14" s="68"/>
      <c r="KW14" s="66"/>
      <c r="KX14" s="67"/>
      <c r="KY14" s="67"/>
      <c r="KZ14" s="67"/>
      <c r="LA14" s="67"/>
      <c r="LB14" s="67"/>
      <c r="LC14" s="67"/>
      <c r="LD14" s="67"/>
      <c r="LE14" s="67"/>
      <c r="LF14" s="67"/>
      <c r="LG14" s="67"/>
      <c r="LH14" s="67"/>
      <c r="LI14" s="67"/>
      <c r="LJ14" s="67"/>
      <c r="LK14" s="67"/>
      <c r="LL14" s="67"/>
      <c r="LM14" s="67"/>
      <c r="LN14" s="67"/>
      <c r="LO14" s="67"/>
      <c r="LP14" s="67"/>
      <c r="LQ14" s="67"/>
      <c r="LR14" s="67"/>
      <c r="LS14" s="67"/>
      <c r="LT14" s="67"/>
      <c r="LU14" s="67"/>
      <c r="LV14" s="67"/>
      <c r="LW14" s="67"/>
      <c r="LX14" s="67"/>
      <c r="LY14" s="67"/>
      <c r="LZ14" s="68"/>
      <c r="MA14" s="66"/>
      <c r="MB14" s="67"/>
      <c r="MC14" s="67"/>
      <c r="MD14" s="67"/>
      <c r="ME14" s="67"/>
      <c r="MF14" s="67"/>
      <c r="MG14" s="67"/>
      <c r="MH14" s="67"/>
      <c r="MI14" s="67"/>
      <c r="MJ14" s="67"/>
      <c r="MK14" s="67"/>
      <c r="ML14" s="67"/>
      <c r="MM14" s="67"/>
      <c r="MN14" s="67"/>
      <c r="MO14" s="67"/>
      <c r="MP14" s="67"/>
      <c r="MQ14" s="67"/>
      <c r="MR14" s="67"/>
      <c r="MS14" s="67"/>
      <c r="MT14" s="67"/>
      <c r="MU14" s="67"/>
      <c r="MV14" s="67"/>
      <c r="MW14" s="67"/>
      <c r="MX14" s="67"/>
      <c r="MY14" s="67"/>
      <c r="MZ14" s="67"/>
      <c r="NA14" s="67"/>
      <c r="NB14" s="67"/>
      <c r="NC14" s="67"/>
      <c r="ND14" s="67"/>
      <c r="NE14" s="68"/>
    </row>
    <row r="15" spans="1:369" x14ac:dyDescent="0.25">
      <c r="A15" s="63"/>
      <c r="B15" s="64"/>
      <c r="C15" s="65"/>
      <c r="D15" s="65"/>
      <c r="E15" s="66"/>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8"/>
      <c r="AJ15" s="66"/>
      <c r="AK15" s="67"/>
      <c r="AL15" s="67"/>
      <c r="AM15" s="67"/>
      <c r="AN15" s="67"/>
      <c r="AO15" s="67"/>
      <c r="AP15" s="67"/>
      <c r="AQ15" s="67"/>
      <c r="AR15" s="67"/>
      <c r="AS15" s="67"/>
      <c r="AT15" s="67"/>
      <c r="AU15" s="67"/>
      <c r="AV15" s="67"/>
      <c r="AW15" s="67"/>
      <c r="AX15" s="67"/>
      <c r="AY15" s="67"/>
      <c r="AZ15" s="67"/>
      <c r="BA15" s="67"/>
      <c r="BB15" s="67"/>
      <c r="BC15" s="67"/>
      <c r="BD15" s="67"/>
      <c r="BE15" s="67"/>
      <c r="BF15" s="67"/>
      <c r="BG15" s="67"/>
      <c r="BH15" s="67"/>
      <c r="BI15" s="67"/>
      <c r="BJ15" s="67"/>
      <c r="BK15" s="68"/>
      <c r="BL15" s="66"/>
      <c r="BM15" s="67"/>
      <c r="BN15" s="67"/>
      <c r="BO15" s="67"/>
      <c r="BP15" s="67"/>
      <c r="BQ15" s="67"/>
      <c r="BR15" s="67"/>
      <c r="BS15" s="67"/>
      <c r="BT15" s="67"/>
      <c r="BU15" s="67"/>
      <c r="BV15" s="67"/>
      <c r="BW15" s="67"/>
      <c r="BX15" s="67"/>
      <c r="BY15" s="67"/>
      <c r="BZ15" s="67"/>
      <c r="CA15" s="67"/>
      <c r="CB15" s="67"/>
      <c r="CC15" s="67"/>
      <c r="CD15" s="67"/>
      <c r="CE15" s="67"/>
      <c r="CF15" s="67"/>
      <c r="CG15" s="67"/>
      <c r="CH15" s="67"/>
      <c r="CI15" s="67"/>
      <c r="CJ15" s="67"/>
      <c r="CK15" s="67"/>
      <c r="CL15" s="67"/>
      <c r="CM15" s="67"/>
      <c r="CN15" s="67"/>
      <c r="CO15" s="67"/>
      <c r="CP15" s="68"/>
      <c r="CQ15" s="66"/>
      <c r="CR15" s="67"/>
      <c r="CS15" s="67"/>
      <c r="CT15" s="67"/>
      <c r="CU15" s="67"/>
      <c r="CV15" s="67"/>
      <c r="CW15" s="67"/>
      <c r="CX15" s="67"/>
      <c r="CY15" s="67"/>
      <c r="CZ15" s="67"/>
      <c r="DA15" s="67"/>
      <c r="DB15" s="67"/>
      <c r="DC15" s="67"/>
      <c r="DD15" s="67"/>
      <c r="DE15" s="67"/>
      <c r="DF15" s="67"/>
      <c r="DG15" s="67"/>
      <c r="DH15" s="67"/>
      <c r="DI15" s="67"/>
      <c r="DJ15" s="67"/>
      <c r="DK15" s="67"/>
      <c r="DL15" s="67"/>
      <c r="DM15" s="67"/>
      <c r="DN15" s="67"/>
      <c r="DO15" s="67"/>
      <c r="DP15" s="67"/>
      <c r="DQ15" s="67"/>
      <c r="DR15" s="67"/>
      <c r="DS15" s="67"/>
      <c r="DT15" s="68"/>
      <c r="DU15" s="66"/>
      <c r="DV15" s="67"/>
      <c r="DW15" s="67"/>
      <c r="DX15" s="67"/>
      <c r="DY15" s="67"/>
      <c r="DZ15" s="67"/>
      <c r="EA15" s="67"/>
      <c r="EB15" s="67"/>
      <c r="EC15" s="67"/>
      <c r="ED15" s="67"/>
      <c r="EE15" s="67"/>
      <c r="EF15" s="67"/>
      <c r="EG15" s="67"/>
      <c r="EH15" s="67"/>
      <c r="EI15" s="67"/>
      <c r="EJ15" s="67"/>
      <c r="EK15" s="67"/>
      <c r="EL15" s="67"/>
      <c r="EM15" s="67"/>
      <c r="EN15" s="67"/>
      <c r="EO15" s="67"/>
      <c r="EP15" s="67"/>
      <c r="EQ15" s="67"/>
      <c r="ER15" s="67"/>
      <c r="ES15" s="67"/>
      <c r="ET15" s="67"/>
      <c r="EU15" s="67"/>
      <c r="EV15" s="67"/>
      <c r="EW15" s="67"/>
      <c r="EX15" s="67"/>
      <c r="EY15" s="68"/>
      <c r="EZ15" s="66"/>
      <c r="FA15" s="67"/>
      <c r="FB15" s="67"/>
      <c r="FC15" s="67"/>
      <c r="FD15" s="67"/>
      <c r="FE15" s="67"/>
      <c r="FF15" s="67"/>
      <c r="FG15" s="67"/>
      <c r="FH15" s="67"/>
      <c r="FI15" s="67"/>
      <c r="FJ15" s="67"/>
      <c r="FK15" s="67"/>
      <c r="FL15" s="67"/>
      <c r="FM15" s="67"/>
      <c r="FN15" s="67"/>
      <c r="FO15" s="67"/>
      <c r="FP15" s="67"/>
      <c r="FQ15" s="67"/>
      <c r="FR15" s="67"/>
      <c r="FS15" s="67"/>
      <c r="FT15" s="67"/>
      <c r="FU15" s="67"/>
      <c r="FV15" s="67"/>
      <c r="FW15" s="67"/>
      <c r="FX15" s="67"/>
      <c r="FY15" s="67"/>
      <c r="FZ15" s="67"/>
      <c r="GA15" s="67"/>
      <c r="GB15" s="67"/>
      <c r="GC15" s="68"/>
      <c r="GD15" s="66"/>
      <c r="GE15" s="67"/>
      <c r="GF15" s="67"/>
      <c r="GG15" s="67"/>
      <c r="GH15" s="67"/>
      <c r="GI15" s="67"/>
      <c r="GJ15" s="67"/>
      <c r="GK15" s="67"/>
      <c r="GL15" s="67"/>
      <c r="GM15" s="67"/>
      <c r="GN15" s="67"/>
      <c r="GO15" s="67"/>
      <c r="GP15" s="67"/>
      <c r="GQ15" s="67"/>
      <c r="GR15" s="67"/>
      <c r="GS15" s="67"/>
      <c r="GT15" s="67"/>
      <c r="GU15" s="67"/>
      <c r="GV15" s="67"/>
      <c r="GW15" s="67"/>
      <c r="GX15" s="67"/>
      <c r="GY15" s="67"/>
      <c r="GZ15" s="67"/>
      <c r="HA15" s="67"/>
      <c r="HB15" s="67"/>
      <c r="HC15" s="67"/>
      <c r="HD15" s="67"/>
      <c r="HE15" s="67"/>
      <c r="HF15" s="67"/>
      <c r="HG15" s="67"/>
      <c r="HH15" s="68"/>
      <c r="HI15" s="66"/>
      <c r="HJ15" s="67"/>
      <c r="HK15" s="67"/>
      <c r="HL15" s="67"/>
      <c r="HM15" s="67"/>
      <c r="HN15" s="67"/>
      <c r="HO15" s="67"/>
      <c r="HP15" s="67"/>
      <c r="HQ15" s="67"/>
      <c r="HR15" s="67"/>
      <c r="HS15" s="67"/>
      <c r="HT15" s="67"/>
      <c r="HU15" s="67"/>
      <c r="HV15" s="67"/>
      <c r="HW15" s="67"/>
      <c r="HX15" s="67"/>
      <c r="HY15" s="67"/>
      <c r="HZ15" s="67"/>
      <c r="IA15" s="67"/>
      <c r="IB15" s="67"/>
      <c r="IC15" s="67"/>
      <c r="ID15" s="67"/>
      <c r="IE15" s="67"/>
      <c r="IF15" s="67"/>
      <c r="IG15" s="67"/>
      <c r="IH15" s="67"/>
      <c r="II15" s="67"/>
      <c r="IJ15" s="67"/>
      <c r="IK15" s="67"/>
      <c r="IL15" s="67"/>
      <c r="IM15" s="68"/>
      <c r="IN15" s="66"/>
      <c r="IO15" s="67"/>
      <c r="IP15" s="67"/>
      <c r="IQ15" s="67"/>
      <c r="IR15" s="67"/>
      <c r="IS15" s="67"/>
      <c r="IT15" s="67"/>
      <c r="IU15" s="67"/>
      <c r="IV15" s="67"/>
      <c r="IW15" s="67"/>
      <c r="IX15" s="67"/>
      <c r="IY15" s="67"/>
      <c r="IZ15" s="67"/>
      <c r="JA15" s="67"/>
      <c r="JB15" s="67"/>
      <c r="JC15" s="67"/>
      <c r="JD15" s="67"/>
      <c r="JE15" s="67"/>
      <c r="JF15" s="67"/>
      <c r="JG15" s="67"/>
      <c r="JH15" s="67"/>
      <c r="JI15" s="67"/>
      <c r="JJ15" s="67"/>
      <c r="JK15" s="67"/>
      <c r="JL15" s="67"/>
      <c r="JM15" s="67"/>
      <c r="JN15" s="67"/>
      <c r="JO15" s="67"/>
      <c r="JP15" s="67"/>
      <c r="JQ15" s="68"/>
      <c r="JR15" s="66"/>
      <c r="JS15" s="67"/>
      <c r="JT15" s="67"/>
      <c r="JU15" s="67"/>
      <c r="JV15" s="67"/>
      <c r="JW15" s="67"/>
      <c r="JX15" s="67"/>
      <c r="JY15" s="67"/>
      <c r="JZ15" s="67"/>
      <c r="KA15" s="67"/>
      <c r="KB15" s="67"/>
      <c r="KC15" s="67"/>
      <c r="KD15" s="67"/>
      <c r="KE15" s="67"/>
      <c r="KF15" s="67"/>
      <c r="KG15" s="67"/>
      <c r="KH15" s="67"/>
      <c r="KI15" s="67"/>
      <c r="KJ15" s="67"/>
      <c r="KK15" s="67"/>
      <c r="KL15" s="67"/>
      <c r="KM15" s="67"/>
      <c r="KN15" s="67"/>
      <c r="KO15" s="67"/>
      <c r="KP15" s="67"/>
      <c r="KQ15" s="67"/>
      <c r="KR15" s="67"/>
      <c r="KS15" s="67"/>
      <c r="KT15" s="67"/>
      <c r="KU15" s="67"/>
      <c r="KV15" s="68"/>
      <c r="KW15" s="66"/>
      <c r="KX15" s="67"/>
      <c r="KY15" s="67"/>
      <c r="KZ15" s="67"/>
      <c r="LA15" s="67"/>
      <c r="LB15" s="67"/>
      <c r="LC15" s="67"/>
      <c r="LD15" s="67"/>
      <c r="LE15" s="67"/>
      <c r="LF15" s="67"/>
      <c r="LG15" s="67"/>
      <c r="LH15" s="67"/>
      <c r="LI15" s="67"/>
      <c r="LJ15" s="67"/>
      <c r="LK15" s="67"/>
      <c r="LL15" s="67"/>
      <c r="LM15" s="67"/>
      <c r="LN15" s="67"/>
      <c r="LO15" s="67"/>
      <c r="LP15" s="67"/>
      <c r="LQ15" s="67"/>
      <c r="LR15" s="67"/>
      <c r="LS15" s="67"/>
      <c r="LT15" s="67"/>
      <c r="LU15" s="67"/>
      <c r="LV15" s="67"/>
      <c r="LW15" s="67"/>
      <c r="LX15" s="67"/>
      <c r="LY15" s="67"/>
      <c r="LZ15" s="68"/>
      <c r="MA15" s="66"/>
      <c r="MB15" s="67"/>
      <c r="MC15" s="67"/>
      <c r="MD15" s="67"/>
      <c r="ME15" s="67"/>
      <c r="MF15" s="67"/>
      <c r="MG15" s="67"/>
      <c r="MH15" s="67"/>
      <c r="MI15" s="67"/>
      <c r="MJ15" s="67"/>
      <c r="MK15" s="67"/>
      <c r="ML15" s="67"/>
      <c r="MM15" s="67"/>
      <c r="MN15" s="67"/>
      <c r="MO15" s="67"/>
      <c r="MP15" s="67"/>
      <c r="MQ15" s="67"/>
      <c r="MR15" s="67"/>
      <c r="MS15" s="67"/>
      <c r="MT15" s="67"/>
      <c r="MU15" s="67"/>
      <c r="MV15" s="67"/>
      <c r="MW15" s="67"/>
      <c r="MX15" s="67"/>
      <c r="MY15" s="67"/>
      <c r="MZ15" s="67"/>
      <c r="NA15" s="67"/>
      <c r="NB15" s="67"/>
      <c r="NC15" s="67"/>
      <c r="ND15" s="67"/>
      <c r="NE15" s="68"/>
    </row>
    <row r="16" spans="1:369" x14ac:dyDescent="0.25">
      <c r="A16" s="57"/>
      <c r="B16" s="64"/>
      <c r="C16" s="65"/>
      <c r="D16" s="65"/>
      <c r="E16" s="66"/>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8"/>
      <c r="AJ16" s="66"/>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67"/>
      <c r="BI16" s="67"/>
      <c r="BJ16" s="67"/>
      <c r="BK16" s="68"/>
      <c r="BL16" s="66"/>
      <c r="BM16" s="67"/>
      <c r="BN16" s="67"/>
      <c r="BO16" s="67"/>
      <c r="BP16" s="67"/>
      <c r="BQ16" s="67"/>
      <c r="BR16" s="67"/>
      <c r="BS16" s="67"/>
      <c r="BT16" s="67"/>
      <c r="BU16" s="67"/>
      <c r="BV16" s="67"/>
      <c r="BW16" s="67"/>
      <c r="BX16" s="67"/>
      <c r="BY16" s="67"/>
      <c r="BZ16" s="67"/>
      <c r="CA16" s="67"/>
      <c r="CB16" s="67"/>
      <c r="CC16" s="67"/>
      <c r="CD16" s="67"/>
      <c r="CE16" s="67"/>
      <c r="CF16" s="67"/>
      <c r="CG16" s="67"/>
      <c r="CH16" s="67"/>
      <c r="CI16" s="67"/>
      <c r="CJ16" s="67"/>
      <c r="CK16" s="67"/>
      <c r="CL16" s="67"/>
      <c r="CM16" s="67"/>
      <c r="CN16" s="67"/>
      <c r="CO16" s="67"/>
      <c r="CP16" s="68"/>
      <c r="CQ16" s="66"/>
      <c r="CR16" s="67"/>
      <c r="CS16" s="67"/>
      <c r="CT16" s="67"/>
      <c r="CU16" s="67"/>
      <c r="CV16" s="67"/>
      <c r="CW16" s="67"/>
      <c r="CX16" s="67"/>
      <c r="CY16" s="67"/>
      <c r="CZ16" s="67"/>
      <c r="DA16" s="67"/>
      <c r="DB16" s="67"/>
      <c r="DC16" s="67"/>
      <c r="DD16" s="67"/>
      <c r="DE16" s="67"/>
      <c r="DF16" s="67"/>
      <c r="DG16" s="67"/>
      <c r="DH16" s="67"/>
      <c r="DI16" s="67"/>
      <c r="DJ16" s="67"/>
      <c r="DK16" s="67"/>
      <c r="DL16" s="67"/>
      <c r="DM16" s="67"/>
      <c r="DN16" s="67"/>
      <c r="DO16" s="67"/>
      <c r="DP16" s="67"/>
      <c r="DQ16" s="67"/>
      <c r="DR16" s="67"/>
      <c r="DS16" s="67"/>
      <c r="DT16" s="68"/>
      <c r="DU16" s="66"/>
      <c r="DV16" s="67"/>
      <c r="DW16" s="67"/>
      <c r="DX16" s="67"/>
      <c r="DY16" s="67"/>
      <c r="DZ16" s="67"/>
      <c r="EA16" s="67"/>
      <c r="EB16" s="67"/>
      <c r="EC16" s="67"/>
      <c r="ED16" s="67"/>
      <c r="EE16" s="67"/>
      <c r="EF16" s="67"/>
      <c r="EG16" s="67"/>
      <c r="EH16" s="67"/>
      <c r="EI16" s="67"/>
      <c r="EJ16" s="67"/>
      <c r="EK16" s="67"/>
      <c r="EL16" s="67"/>
      <c r="EM16" s="67"/>
      <c r="EN16" s="67"/>
      <c r="EO16" s="67"/>
      <c r="EP16" s="67"/>
      <c r="EQ16" s="67"/>
      <c r="ER16" s="67"/>
      <c r="ES16" s="67"/>
      <c r="ET16" s="67"/>
      <c r="EU16" s="67"/>
      <c r="EV16" s="67"/>
      <c r="EW16" s="67"/>
      <c r="EX16" s="67"/>
      <c r="EY16" s="68"/>
      <c r="EZ16" s="66"/>
      <c r="FA16" s="67"/>
      <c r="FB16" s="67"/>
      <c r="FC16" s="67"/>
      <c r="FD16" s="67"/>
      <c r="FE16" s="67"/>
      <c r="FF16" s="67"/>
      <c r="FG16" s="67"/>
      <c r="FH16" s="67"/>
      <c r="FI16" s="67"/>
      <c r="FJ16" s="67"/>
      <c r="FK16" s="67"/>
      <c r="FL16" s="67"/>
      <c r="FM16" s="67"/>
      <c r="FN16" s="67"/>
      <c r="FO16" s="67"/>
      <c r="FP16" s="67"/>
      <c r="FQ16" s="67"/>
      <c r="FR16" s="67"/>
      <c r="FS16" s="67"/>
      <c r="FT16" s="67"/>
      <c r="FU16" s="67"/>
      <c r="FV16" s="67"/>
      <c r="FW16" s="67"/>
      <c r="FX16" s="67"/>
      <c r="FY16" s="67"/>
      <c r="FZ16" s="67"/>
      <c r="GA16" s="67"/>
      <c r="GB16" s="67"/>
      <c r="GC16" s="68"/>
      <c r="GD16" s="66"/>
      <c r="GE16" s="67"/>
      <c r="GF16" s="67"/>
      <c r="GG16" s="67"/>
      <c r="GH16" s="67"/>
      <c r="GI16" s="67"/>
      <c r="GJ16" s="67"/>
      <c r="GK16" s="67"/>
      <c r="GL16" s="67"/>
      <c r="GM16" s="67"/>
      <c r="GN16" s="67"/>
      <c r="GO16" s="67"/>
      <c r="GP16" s="67"/>
      <c r="GQ16" s="67"/>
      <c r="GR16" s="67"/>
      <c r="GS16" s="67"/>
      <c r="GT16" s="67"/>
      <c r="GU16" s="67"/>
      <c r="GV16" s="67"/>
      <c r="GW16" s="67"/>
      <c r="GX16" s="67"/>
      <c r="GY16" s="67"/>
      <c r="GZ16" s="67"/>
      <c r="HA16" s="67"/>
      <c r="HB16" s="67"/>
      <c r="HC16" s="67"/>
      <c r="HD16" s="67"/>
      <c r="HE16" s="67"/>
      <c r="HF16" s="67"/>
      <c r="HG16" s="67"/>
      <c r="HH16" s="68"/>
      <c r="HI16" s="66"/>
      <c r="HJ16" s="67"/>
      <c r="HK16" s="67"/>
      <c r="HL16" s="67"/>
      <c r="HM16" s="67"/>
      <c r="HN16" s="67"/>
      <c r="HO16" s="67"/>
      <c r="HP16" s="67"/>
      <c r="HQ16" s="67"/>
      <c r="HR16" s="67"/>
      <c r="HS16" s="67"/>
      <c r="HT16" s="67"/>
      <c r="HU16" s="67"/>
      <c r="HV16" s="67"/>
      <c r="HW16" s="67"/>
      <c r="HX16" s="67"/>
      <c r="HY16" s="67"/>
      <c r="HZ16" s="67"/>
      <c r="IA16" s="67"/>
      <c r="IB16" s="67"/>
      <c r="IC16" s="67"/>
      <c r="ID16" s="67"/>
      <c r="IE16" s="67"/>
      <c r="IF16" s="67"/>
      <c r="IG16" s="67"/>
      <c r="IH16" s="67"/>
      <c r="II16" s="67"/>
      <c r="IJ16" s="67"/>
      <c r="IK16" s="67"/>
      <c r="IL16" s="67"/>
      <c r="IM16" s="68"/>
      <c r="IN16" s="66"/>
      <c r="IO16" s="67"/>
      <c r="IP16" s="67"/>
      <c r="IQ16" s="67"/>
      <c r="IR16" s="67"/>
      <c r="IS16" s="67"/>
      <c r="IT16" s="67"/>
      <c r="IU16" s="67"/>
      <c r="IV16" s="67"/>
      <c r="IW16" s="67"/>
      <c r="IX16" s="67"/>
      <c r="IY16" s="67"/>
      <c r="IZ16" s="67"/>
      <c r="JA16" s="67"/>
      <c r="JB16" s="67"/>
      <c r="JC16" s="67"/>
      <c r="JD16" s="67"/>
      <c r="JE16" s="67"/>
      <c r="JF16" s="67"/>
      <c r="JG16" s="67"/>
      <c r="JH16" s="67"/>
      <c r="JI16" s="67"/>
      <c r="JJ16" s="67"/>
      <c r="JK16" s="67"/>
      <c r="JL16" s="67"/>
      <c r="JM16" s="67"/>
      <c r="JN16" s="67"/>
      <c r="JO16" s="67"/>
      <c r="JP16" s="67"/>
      <c r="JQ16" s="68"/>
      <c r="JR16" s="66"/>
      <c r="JS16" s="67"/>
      <c r="JT16" s="67"/>
      <c r="JU16" s="67"/>
      <c r="JV16" s="67"/>
      <c r="JW16" s="67"/>
      <c r="JX16" s="67"/>
      <c r="JY16" s="67"/>
      <c r="JZ16" s="67"/>
      <c r="KA16" s="67"/>
      <c r="KB16" s="67"/>
      <c r="KC16" s="67"/>
      <c r="KD16" s="67"/>
      <c r="KE16" s="67"/>
      <c r="KF16" s="67"/>
      <c r="KG16" s="67"/>
      <c r="KH16" s="67"/>
      <c r="KI16" s="67"/>
      <c r="KJ16" s="67"/>
      <c r="KK16" s="67"/>
      <c r="KL16" s="67"/>
      <c r="KM16" s="67"/>
      <c r="KN16" s="67"/>
      <c r="KO16" s="67"/>
      <c r="KP16" s="67"/>
      <c r="KQ16" s="67"/>
      <c r="KR16" s="67"/>
      <c r="KS16" s="67"/>
      <c r="KT16" s="67"/>
      <c r="KU16" s="67"/>
      <c r="KV16" s="68"/>
      <c r="KW16" s="66"/>
      <c r="KX16" s="67"/>
      <c r="KY16" s="67"/>
      <c r="KZ16" s="67"/>
      <c r="LA16" s="67"/>
      <c r="LB16" s="67"/>
      <c r="LC16" s="67"/>
      <c r="LD16" s="67"/>
      <c r="LE16" s="67"/>
      <c r="LF16" s="67"/>
      <c r="LG16" s="67"/>
      <c r="LH16" s="67"/>
      <c r="LI16" s="67"/>
      <c r="LJ16" s="67"/>
      <c r="LK16" s="67"/>
      <c r="LL16" s="67"/>
      <c r="LM16" s="67"/>
      <c r="LN16" s="67"/>
      <c r="LO16" s="67"/>
      <c r="LP16" s="67"/>
      <c r="LQ16" s="67"/>
      <c r="LR16" s="67"/>
      <c r="LS16" s="67"/>
      <c r="LT16" s="67"/>
      <c r="LU16" s="67"/>
      <c r="LV16" s="67"/>
      <c r="LW16" s="67"/>
      <c r="LX16" s="67"/>
      <c r="LY16" s="67"/>
      <c r="LZ16" s="68"/>
      <c r="MA16" s="66"/>
      <c r="MB16" s="67"/>
      <c r="MC16" s="67"/>
      <c r="MD16" s="67"/>
      <c r="ME16" s="67"/>
      <c r="MF16" s="67"/>
      <c r="MG16" s="67"/>
      <c r="MH16" s="67"/>
      <c r="MI16" s="67"/>
      <c r="MJ16" s="67"/>
      <c r="MK16" s="67"/>
      <c r="ML16" s="67"/>
      <c r="MM16" s="67"/>
      <c r="MN16" s="67"/>
      <c r="MO16" s="67"/>
      <c r="MP16" s="67"/>
      <c r="MQ16" s="67"/>
      <c r="MR16" s="67"/>
      <c r="MS16" s="67"/>
      <c r="MT16" s="67"/>
      <c r="MU16" s="67"/>
      <c r="MV16" s="67"/>
      <c r="MW16" s="67"/>
      <c r="MX16" s="67"/>
      <c r="MY16" s="67"/>
      <c r="MZ16" s="67"/>
      <c r="NA16" s="67"/>
      <c r="NB16" s="67"/>
      <c r="NC16" s="67"/>
      <c r="ND16" s="67"/>
      <c r="NE16" s="68"/>
    </row>
    <row r="17" spans="1:369" x14ac:dyDescent="0.25">
      <c r="A17" s="63"/>
      <c r="B17" s="64"/>
      <c r="C17" s="65"/>
      <c r="D17" s="65"/>
      <c r="E17" s="66"/>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8"/>
      <c r="AJ17" s="66"/>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67"/>
      <c r="BI17" s="67"/>
      <c r="BJ17" s="67"/>
      <c r="BK17" s="68"/>
      <c r="BL17" s="66"/>
      <c r="BM17" s="67"/>
      <c r="BN17" s="67"/>
      <c r="BO17" s="67"/>
      <c r="BP17" s="67"/>
      <c r="BQ17" s="67"/>
      <c r="BR17" s="67"/>
      <c r="BS17" s="67"/>
      <c r="BT17" s="67"/>
      <c r="BU17" s="67"/>
      <c r="BV17" s="67"/>
      <c r="BW17" s="67"/>
      <c r="BX17" s="67"/>
      <c r="BY17" s="67"/>
      <c r="BZ17" s="67"/>
      <c r="CA17" s="67"/>
      <c r="CB17" s="67"/>
      <c r="CC17" s="67"/>
      <c r="CD17" s="67"/>
      <c r="CE17" s="67"/>
      <c r="CF17" s="67"/>
      <c r="CG17" s="67"/>
      <c r="CH17" s="67"/>
      <c r="CI17" s="67"/>
      <c r="CJ17" s="67"/>
      <c r="CK17" s="67"/>
      <c r="CL17" s="67"/>
      <c r="CM17" s="67"/>
      <c r="CN17" s="67"/>
      <c r="CO17" s="67"/>
      <c r="CP17" s="68"/>
      <c r="CQ17" s="66"/>
      <c r="CR17" s="67"/>
      <c r="CS17" s="67"/>
      <c r="CT17" s="67"/>
      <c r="CU17" s="67"/>
      <c r="CV17" s="67"/>
      <c r="CW17" s="67"/>
      <c r="CX17" s="67"/>
      <c r="CY17" s="67"/>
      <c r="CZ17" s="67"/>
      <c r="DA17" s="67"/>
      <c r="DB17" s="67"/>
      <c r="DC17" s="67"/>
      <c r="DD17" s="67"/>
      <c r="DE17" s="67"/>
      <c r="DF17" s="67"/>
      <c r="DG17" s="67"/>
      <c r="DH17" s="67"/>
      <c r="DI17" s="67"/>
      <c r="DJ17" s="67"/>
      <c r="DK17" s="67"/>
      <c r="DL17" s="67"/>
      <c r="DM17" s="67"/>
      <c r="DN17" s="67"/>
      <c r="DO17" s="67"/>
      <c r="DP17" s="67"/>
      <c r="DQ17" s="67"/>
      <c r="DR17" s="67"/>
      <c r="DS17" s="67"/>
      <c r="DT17" s="68"/>
      <c r="DU17" s="66"/>
      <c r="DV17" s="67"/>
      <c r="DW17" s="67"/>
      <c r="DX17" s="67"/>
      <c r="DY17" s="67"/>
      <c r="DZ17" s="67"/>
      <c r="EA17" s="67"/>
      <c r="EB17" s="67"/>
      <c r="EC17" s="67"/>
      <c r="ED17" s="67"/>
      <c r="EE17" s="67"/>
      <c r="EF17" s="67"/>
      <c r="EG17" s="67"/>
      <c r="EH17" s="67"/>
      <c r="EI17" s="67"/>
      <c r="EJ17" s="67"/>
      <c r="EK17" s="67"/>
      <c r="EL17" s="67"/>
      <c r="EM17" s="67"/>
      <c r="EN17" s="67"/>
      <c r="EO17" s="67"/>
      <c r="EP17" s="67"/>
      <c r="EQ17" s="67"/>
      <c r="ER17" s="67"/>
      <c r="ES17" s="67"/>
      <c r="ET17" s="67"/>
      <c r="EU17" s="67"/>
      <c r="EV17" s="67"/>
      <c r="EW17" s="67"/>
      <c r="EX17" s="67"/>
      <c r="EY17" s="68"/>
      <c r="EZ17" s="66"/>
      <c r="FA17" s="67"/>
      <c r="FB17" s="67"/>
      <c r="FC17" s="67"/>
      <c r="FD17" s="67"/>
      <c r="FE17" s="67"/>
      <c r="FF17" s="67"/>
      <c r="FG17" s="67"/>
      <c r="FH17" s="67"/>
      <c r="FI17" s="67"/>
      <c r="FJ17" s="67"/>
      <c r="FK17" s="67"/>
      <c r="FL17" s="67"/>
      <c r="FM17" s="67"/>
      <c r="FN17" s="67"/>
      <c r="FO17" s="67"/>
      <c r="FP17" s="67"/>
      <c r="FQ17" s="67"/>
      <c r="FR17" s="67"/>
      <c r="FS17" s="67"/>
      <c r="FT17" s="67"/>
      <c r="FU17" s="67"/>
      <c r="FV17" s="67"/>
      <c r="FW17" s="67"/>
      <c r="FX17" s="67"/>
      <c r="FY17" s="67"/>
      <c r="FZ17" s="67"/>
      <c r="GA17" s="67"/>
      <c r="GB17" s="67"/>
      <c r="GC17" s="68"/>
      <c r="GD17" s="66"/>
      <c r="GE17" s="67"/>
      <c r="GF17" s="67"/>
      <c r="GG17" s="67"/>
      <c r="GH17" s="67"/>
      <c r="GI17" s="67"/>
      <c r="GJ17" s="67"/>
      <c r="GK17" s="67"/>
      <c r="GL17" s="67"/>
      <c r="GM17" s="67"/>
      <c r="GN17" s="67"/>
      <c r="GO17" s="67"/>
      <c r="GP17" s="67"/>
      <c r="GQ17" s="67"/>
      <c r="GR17" s="67"/>
      <c r="GS17" s="67"/>
      <c r="GT17" s="67"/>
      <c r="GU17" s="67"/>
      <c r="GV17" s="67"/>
      <c r="GW17" s="67"/>
      <c r="GX17" s="67"/>
      <c r="GY17" s="67"/>
      <c r="GZ17" s="67"/>
      <c r="HA17" s="67"/>
      <c r="HB17" s="67"/>
      <c r="HC17" s="67"/>
      <c r="HD17" s="67"/>
      <c r="HE17" s="67"/>
      <c r="HF17" s="67"/>
      <c r="HG17" s="67"/>
      <c r="HH17" s="68"/>
      <c r="HI17" s="66"/>
      <c r="HJ17" s="67"/>
      <c r="HK17" s="67"/>
      <c r="HL17" s="67"/>
      <c r="HM17" s="67"/>
      <c r="HN17" s="67"/>
      <c r="HO17" s="67"/>
      <c r="HP17" s="67"/>
      <c r="HQ17" s="67"/>
      <c r="HR17" s="67"/>
      <c r="HS17" s="67"/>
      <c r="HT17" s="67"/>
      <c r="HU17" s="67"/>
      <c r="HV17" s="67"/>
      <c r="HW17" s="67"/>
      <c r="HX17" s="67"/>
      <c r="HY17" s="67"/>
      <c r="HZ17" s="67"/>
      <c r="IA17" s="67"/>
      <c r="IB17" s="67"/>
      <c r="IC17" s="67"/>
      <c r="ID17" s="67"/>
      <c r="IE17" s="67"/>
      <c r="IF17" s="67"/>
      <c r="IG17" s="67"/>
      <c r="IH17" s="67"/>
      <c r="II17" s="67"/>
      <c r="IJ17" s="67"/>
      <c r="IK17" s="67"/>
      <c r="IL17" s="67"/>
      <c r="IM17" s="68"/>
      <c r="IN17" s="66"/>
      <c r="IO17" s="67"/>
      <c r="IP17" s="67"/>
      <c r="IQ17" s="67"/>
      <c r="IR17" s="67"/>
      <c r="IS17" s="67"/>
      <c r="IT17" s="67"/>
      <c r="IU17" s="67"/>
      <c r="IV17" s="67"/>
      <c r="IW17" s="67"/>
      <c r="IX17" s="67"/>
      <c r="IY17" s="67"/>
      <c r="IZ17" s="67"/>
      <c r="JA17" s="67"/>
      <c r="JB17" s="67"/>
      <c r="JC17" s="67"/>
      <c r="JD17" s="67"/>
      <c r="JE17" s="67"/>
      <c r="JF17" s="67"/>
      <c r="JG17" s="67"/>
      <c r="JH17" s="67"/>
      <c r="JI17" s="67"/>
      <c r="JJ17" s="67"/>
      <c r="JK17" s="67"/>
      <c r="JL17" s="67"/>
      <c r="JM17" s="67"/>
      <c r="JN17" s="67"/>
      <c r="JO17" s="67"/>
      <c r="JP17" s="67"/>
      <c r="JQ17" s="68"/>
      <c r="JR17" s="66"/>
      <c r="JS17" s="67"/>
      <c r="JT17" s="67"/>
      <c r="JU17" s="67"/>
      <c r="JV17" s="67"/>
      <c r="JW17" s="67"/>
      <c r="JX17" s="67"/>
      <c r="JY17" s="67"/>
      <c r="JZ17" s="67"/>
      <c r="KA17" s="67"/>
      <c r="KB17" s="67"/>
      <c r="KC17" s="67"/>
      <c r="KD17" s="67"/>
      <c r="KE17" s="67"/>
      <c r="KF17" s="67"/>
      <c r="KG17" s="67"/>
      <c r="KH17" s="67"/>
      <c r="KI17" s="67"/>
      <c r="KJ17" s="67"/>
      <c r="KK17" s="67"/>
      <c r="KL17" s="67"/>
      <c r="KM17" s="67"/>
      <c r="KN17" s="67"/>
      <c r="KO17" s="67"/>
      <c r="KP17" s="67"/>
      <c r="KQ17" s="67"/>
      <c r="KR17" s="67"/>
      <c r="KS17" s="67"/>
      <c r="KT17" s="67"/>
      <c r="KU17" s="67"/>
      <c r="KV17" s="68"/>
      <c r="KW17" s="66"/>
      <c r="KX17" s="67"/>
      <c r="KY17" s="67"/>
      <c r="KZ17" s="67"/>
      <c r="LA17" s="67"/>
      <c r="LB17" s="67"/>
      <c r="LC17" s="67"/>
      <c r="LD17" s="67"/>
      <c r="LE17" s="67"/>
      <c r="LF17" s="67"/>
      <c r="LG17" s="67"/>
      <c r="LH17" s="67"/>
      <c r="LI17" s="67"/>
      <c r="LJ17" s="67"/>
      <c r="LK17" s="67"/>
      <c r="LL17" s="67"/>
      <c r="LM17" s="67"/>
      <c r="LN17" s="67"/>
      <c r="LO17" s="67"/>
      <c r="LP17" s="67"/>
      <c r="LQ17" s="67"/>
      <c r="LR17" s="67"/>
      <c r="LS17" s="67"/>
      <c r="LT17" s="67"/>
      <c r="LU17" s="67"/>
      <c r="LV17" s="67"/>
      <c r="LW17" s="67"/>
      <c r="LX17" s="67"/>
      <c r="LY17" s="67"/>
      <c r="LZ17" s="68"/>
      <c r="MA17" s="66"/>
      <c r="MB17" s="67"/>
      <c r="MC17" s="67"/>
      <c r="MD17" s="67"/>
      <c r="ME17" s="67"/>
      <c r="MF17" s="67"/>
      <c r="MG17" s="67"/>
      <c r="MH17" s="67"/>
      <c r="MI17" s="67"/>
      <c r="MJ17" s="67"/>
      <c r="MK17" s="67"/>
      <c r="ML17" s="67"/>
      <c r="MM17" s="67"/>
      <c r="MN17" s="67"/>
      <c r="MO17" s="67"/>
      <c r="MP17" s="67"/>
      <c r="MQ17" s="67"/>
      <c r="MR17" s="67"/>
      <c r="MS17" s="67"/>
      <c r="MT17" s="67"/>
      <c r="MU17" s="67"/>
      <c r="MV17" s="67"/>
      <c r="MW17" s="67"/>
      <c r="MX17" s="67"/>
      <c r="MY17" s="67"/>
      <c r="MZ17" s="67"/>
      <c r="NA17" s="67"/>
      <c r="NB17" s="67"/>
      <c r="NC17" s="67"/>
      <c r="ND17" s="67"/>
      <c r="NE17" s="68"/>
    </row>
    <row r="18" spans="1:369" x14ac:dyDescent="0.25">
      <c r="A18" s="57"/>
      <c r="B18" s="64"/>
      <c r="C18" s="65"/>
      <c r="D18" s="65"/>
      <c r="E18" s="66"/>
      <c r="F18" s="67"/>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8"/>
      <c r="AJ18" s="66"/>
      <c r="AK18" s="67"/>
      <c r="AL18" s="67"/>
      <c r="AM18" s="67"/>
      <c r="AN18" s="67"/>
      <c r="AO18" s="67"/>
      <c r="AP18" s="67"/>
      <c r="AQ18" s="67"/>
      <c r="AR18" s="67"/>
      <c r="AS18" s="67"/>
      <c r="AT18" s="67"/>
      <c r="AU18" s="67"/>
      <c r="AV18" s="67"/>
      <c r="AW18" s="67"/>
      <c r="AX18" s="67"/>
      <c r="AY18" s="67"/>
      <c r="AZ18" s="67"/>
      <c r="BA18" s="67"/>
      <c r="BB18" s="67"/>
      <c r="BC18" s="67"/>
      <c r="BD18" s="67"/>
      <c r="BE18" s="67"/>
      <c r="BF18" s="67"/>
      <c r="BG18" s="67"/>
      <c r="BH18" s="67"/>
      <c r="BI18" s="67"/>
      <c r="BJ18" s="67"/>
      <c r="BK18" s="68"/>
      <c r="BL18" s="66"/>
      <c r="BM18" s="67"/>
      <c r="BN18" s="67"/>
      <c r="BO18" s="67"/>
      <c r="BP18" s="67"/>
      <c r="BQ18" s="67"/>
      <c r="BR18" s="67"/>
      <c r="BS18" s="67"/>
      <c r="BT18" s="67"/>
      <c r="BU18" s="67"/>
      <c r="BV18" s="67"/>
      <c r="BW18" s="67"/>
      <c r="BX18" s="67"/>
      <c r="BY18" s="67"/>
      <c r="BZ18" s="67"/>
      <c r="CA18" s="67"/>
      <c r="CB18" s="67"/>
      <c r="CC18" s="67"/>
      <c r="CD18" s="67"/>
      <c r="CE18" s="67"/>
      <c r="CF18" s="67"/>
      <c r="CG18" s="67"/>
      <c r="CH18" s="67"/>
      <c r="CI18" s="67"/>
      <c r="CJ18" s="67"/>
      <c r="CK18" s="67"/>
      <c r="CL18" s="67"/>
      <c r="CM18" s="67"/>
      <c r="CN18" s="67"/>
      <c r="CO18" s="67"/>
      <c r="CP18" s="68"/>
      <c r="CQ18" s="66"/>
      <c r="CR18" s="67"/>
      <c r="CS18" s="67"/>
      <c r="CT18" s="67"/>
      <c r="CU18" s="67"/>
      <c r="CV18" s="67"/>
      <c r="CW18" s="67"/>
      <c r="CX18" s="67"/>
      <c r="CY18" s="67"/>
      <c r="CZ18" s="67"/>
      <c r="DA18" s="67"/>
      <c r="DB18" s="67"/>
      <c r="DC18" s="67"/>
      <c r="DD18" s="67"/>
      <c r="DE18" s="67"/>
      <c r="DF18" s="67"/>
      <c r="DG18" s="67"/>
      <c r="DH18" s="67"/>
      <c r="DI18" s="67"/>
      <c r="DJ18" s="67"/>
      <c r="DK18" s="67"/>
      <c r="DL18" s="67"/>
      <c r="DM18" s="67"/>
      <c r="DN18" s="67"/>
      <c r="DO18" s="67"/>
      <c r="DP18" s="67"/>
      <c r="DQ18" s="67"/>
      <c r="DR18" s="67"/>
      <c r="DS18" s="67"/>
      <c r="DT18" s="68"/>
      <c r="DU18" s="66"/>
      <c r="DV18" s="67"/>
      <c r="DW18" s="67"/>
      <c r="DX18" s="67"/>
      <c r="DY18" s="67"/>
      <c r="DZ18" s="67"/>
      <c r="EA18" s="67"/>
      <c r="EB18" s="67"/>
      <c r="EC18" s="67"/>
      <c r="ED18" s="67"/>
      <c r="EE18" s="67"/>
      <c r="EF18" s="67"/>
      <c r="EG18" s="67"/>
      <c r="EH18" s="67"/>
      <c r="EI18" s="67"/>
      <c r="EJ18" s="67"/>
      <c r="EK18" s="67"/>
      <c r="EL18" s="67"/>
      <c r="EM18" s="67"/>
      <c r="EN18" s="67"/>
      <c r="EO18" s="67"/>
      <c r="EP18" s="67"/>
      <c r="EQ18" s="67"/>
      <c r="ER18" s="67"/>
      <c r="ES18" s="67"/>
      <c r="ET18" s="67"/>
      <c r="EU18" s="67"/>
      <c r="EV18" s="67"/>
      <c r="EW18" s="67"/>
      <c r="EX18" s="67"/>
      <c r="EY18" s="68"/>
      <c r="EZ18" s="66"/>
      <c r="FA18" s="67"/>
      <c r="FB18" s="67"/>
      <c r="FC18" s="67"/>
      <c r="FD18" s="67"/>
      <c r="FE18" s="67"/>
      <c r="FF18" s="67"/>
      <c r="FG18" s="67"/>
      <c r="FH18" s="67"/>
      <c r="FI18" s="67"/>
      <c r="FJ18" s="67"/>
      <c r="FK18" s="67"/>
      <c r="FL18" s="67"/>
      <c r="FM18" s="67"/>
      <c r="FN18" s="67"/>
      <c r="FO18" s="67"/>
      <c r="FP18" s="67"/>
      <c r="FQ18" s="67"/>
      <c r="FR18" s="67"/>
      <c r="FS18" s="67"/>
      <c r="FT18" s="67"/>
      <c r="FU18" s="67"/>
      <c r="FV18" s="67"/>
      <c r="FW18" s="67"/>
      <c r="FX18" s="67"/>
      <c r="FY18" s="67"/>
      <c r="FZ18" s="67"/>
      <c r="GA18" s="67"/>
      <c r="GB18" s="67"/>
      <c r="GC18" s="68"/>
      <c r="GD18" s="66"/>
      <c r="GE18" s="67"/>
      <c r="GF18" s="67"/>
      <c r="GG18" s="67"/>
      <c r="GH18" s="67"/>
      <c r="GI18" s="67"/>
      <c r="GJ18" s="67"/>
      <c r="GK18" s="67"/>
      <c r="GL18" s="67"/>
      <c r="GM18" s="67"/>
      <c r="GN18" s="67"/>
      <c r="GO18" s="67"/>
      <c r="GP18" s="67"/>
      <c r="GQ18" s="67"/>
      <c r="GR18" s="67"/>
      <c r="GS18" s="67"/>
      <c r="GT18" s="67"/>
      <c r="GU18" s="67"/>
      <c r="GV18" s="67"/>
      <c r="GW18" s="67"/>
      <c r="GX18" s="67"/>
      <c r="GY18" s="67"/>
      <c r="GZ18" s="67"/>
      <c r="HA18" s="67"/>
      <c r="HB18" s="67"/>
      <c r="HC18" s="67"/>
      <c r="HD18" s="67"/>
      <c r="HE18" s="67"/>
      <c r="HF18" s="67"/>
      <c r="HG18" s="67"/>
      <c r="HH18" s="68"/>
      <c r="HI18" s="66"/>
      <c r="HJ18" s="67"/>
      <c r="HK18" s="67"/>
      <c r="HL18" s="67"/>
      <c r="HM18" s="67"/>
      <c r="HN18" s="67"/>
      <c r="HO18" s="67"/>
      <c r="HP18" s="67"/>
      <c r="HQ18" s="67"/>
      <c r="HR18" s="67"/>
      <c r="HS18" s="67"/>
      <c r="HT18" s="67"/>
      <c r="HU18" s="67"/>
      <c r="HV18" s="67"/>
      <c r="HW18" s="67"/>
      <c r="HX18" s="67"/>
      <c r="HY18" s="67"/>
      <c r="HZ18" s="67"/>
      <c r="IA18" s="67"/>
      <c r="IB18" s="67"/>
      <c r="IC18" s="67"/>
      <c r="ID18" s="67"/>
      <c r="IE18" s="67"/>
      <c r="IF18" s="67"/>
      <c r="IG18" s="67"/>
      <c r="IH18" s="67"/>
      <c r="II18" s="67"/>
      <c r="IJ18" s="67"/>
      <c r="IK18" s="67"/>
      <c r="IL18" s="67"/>
      <c r="IM18" s="68"/>
      <c r="IN18" s="66"/>
      <c r="IO18" s="67"/>
      <c r="IP18" s="67"/>
      <c r="IQ18" s="67"/>
      <c r="IR18" s="67"/>
      <c r="IS18" s="67"/>
      <c r="IT18" s="67"/>
      <c r="IU18" s="67"/>
      <c r="IV18" s="67"/>
      <c r="IW18" s="67"/>
      <c r="IX18" s="67"/>
      <c r="IY18" s="67"/>
      <c r="IZ18" s="67"/>
      <c r="JA18" s="67"/>
      <c r="JB18" s="67"/>
      <c r="JC18" s="67"/>
      <c r="JD18" s="67"/>
      <c r="JE18" s="67"/>
      <c r="JF18" s="67"/>
      <c r="JG18" s="67"/>
      <c r="JH18" s="67"/>
      <c r="JI18" s="67"/>
      <c r="JJ18" s="67"/>
      <c r="JK18" s="67"/>
      <c r="JL18" s="67"/>
      <c r="JM18" s="67"/>
      <c r="JN18" s="67"/>
      <c r="JO18" s="67"/>
      <c r="JP18" s="67"/>
      <c r="JQ18" s="68"/>
      <c r="JR18" s="66"/>
      <c r="JS18" s="67"/>
      <c r="JT18" s="67"/>
      <c r="JU18" s="67"/>
      <c r="JV18" s="67"/>
      <c r="JW18" s="67"/>
      <c r="JX18" s="67"/>
      <c r="JY18" s="67"/>
      <c r="JZ18" s="67"/>
      <c r="KA18" s="67"/>
      <c r="KB18" s="67"/>
      <c r="KC18" s="67"/>
      <c r="KD18" s="67"/>
      <c r="KE18" s="67"/>
      <c r="KF18" s="67"/>
      <c r="KG18" s="67"/>
      <c r="KH18" s="67"/>
      <c r="KI18" s="67"/>
      <c r="KJ18" s="67"/>
      <c r="KK18" s="67"/>
      <c r="KL18" s="67"/>
      <c r="KM18" s="67"/>
      <c r="KN18" s="67"/>
      <c r="KO18" s="67"/>
      <c r="KP18" s="67"/>
      <c r="KQ18" s="67"/>
      <c r="KR18" s="67"/>
      <c r="KS18" s="67"/>
      <c r="KT18" s="67"/>
      <c r="KU18" s="67"/>
      <c r="KV18" s="68"/>
      <c r="KW18" s="66"/>
      <c r="KX18" s="67"/>
      <c r="KY18" s="67"/>
      <c r="KZ18" s="67"/>
      <c r="LA18" s="67"/>
      <c r="LB18" s="67"/>
      <c r="LC18" s="67"/>
      <c r="LD18" s="67"/>
      <c r="LE18" s="67"/>
      <c r="LF18" s="67"/>
      <c r="LG18" s="67"/>
      <c r="LH18" s="67"/>
      <c r="LI18" s="67"/>
      <c r="LJ18" s="67"/>
      <c r="LK18" s="67"/>
      <c r="LL18" s="67"/>
      <c r="LM18" s="67"/>
      <c r="LN18" s="67"/>
      <c r="LO18" s="67"/>
      <c r="LP18" s="67"/>
      <c r="LQ18" s="67"/>
      <c r="LR18" s="67"/>
      <c r="LS18" s="67"/>
      <c r="LT18" s="67"/>
      <c r="LU18" s="67"/>
      <c r="LV18" s="67"/>
      <c r="LW18" s="67"/>
      <c r="LX18" s="67"/>
      <c r="LY18" s="67"/>
      <c r="LZ18" s="68"/>
      <c r="MA18" s="66"/>
      <c r="MB18" s="67"/>
      <c r="MC18" s="67"/>
      <c r="MD18" s="67"/>
      <c r="ME18" s="67"/>
      <c r="MF18" s="67"/>
      <c r="MG18" s="67"/>
      <c r="MH18" s="67"/>
      <c r="MI18" s="67"/>
      <c r="MJ18" s="67"/>
      <c r="MK18" s="67"/>
      <c r="ML18" s="67"/>
      <c r="MM18" s="67"/>
      <c r="MN18" s="67"/>
      <c r="MO18" s="67"/>
      <c r="MP18" s="67"/>
      <c r="MQ18" s="67"/>
      <c r="MR18" s="67"/>
      <c r="MS18" s="67"/>
      <c r="MT18" s="67"/>
      <c r="MU18" s="67"/>
      <c r="MV18" s="67"/>
      <c r="MW18" s="67"/>
      <c r="MX18" s="67"/>
      <c r="MY18" s="67"/>
      <c r="MZ18" s="67"/>
      <c r="NA18" s="67"/>
      <c r="NB18" s="67"/>
      <c r="NC18" s="67"/>
      <c r="ND18" s="67"/>
      <c r="NE18" s="68"/>
    </row>
    <row r="19" spans="1:369" x14ac:dyDescent="0.25">
      <c r="A19" s="63"/>
      <c r="B19" s="64"/>
      <c r="C19" s="65"/>
      <c r="D19" s="65"/>
      <c r="E19" s="66"/>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8"/>
      <c r="AJ19" s="66"/>
      <c r="AK19" s="67"/>
      <c r="AL19" s="67"/>
      <c r="AM19" s="67"/>
      <c r="AN19" s="67"/>
      <c r="AO19" s="67"/>
      <c r="AP19" s="67"/>
      <c r="AQ19" s="67"/>
      <c r="AR19" s="67"/>
      <c r="AS19" s="67"/>
      <c r="AT19" s="67"/>
      <c r="AU19" s="67"/>
      <c r="AV19" s="67"/>
      <c r="AW19" s="67"/>
      <c r="AX19" s="67"/>
      <c r="AY19" s="67"/>
      <c r="AZ19" s="67"/>
      <c r="BA19" s="67"/>
      <c r="BB19" s="67"/>
      <c r="BC19" s="67"/>
      <c r="BD19" s="67"/>
      <c r="BE19" s="67"/>
      <c r="BF19" s="67"/>
      <c r="BG19" s="67"/>
      <c r="BH19" s="67"/>
      <c r="BI19" s="67"/>
      <c r="BJ19" s="67"/>
      <c r="BK19" s="68"/>
      <c r="BL19" s="66"/>
      <c r="BM19" s="67"/>
      <c r="BN19" s="67"/>
      <c r="BO19" s="67"/>
      <c r="BP19" s="67"/>
      <c r="BQ19" s="67"/>
      <c r="BR19" s="67"/>
      <c r="BS19" s="67"/>
      <c r="BT19" s="67"/>
      <c r="BU19" s="67"/>
      <c r="BV19" s="67"/>
      <c r="BW19" s="67"/>
      <c r="BX19" s="67"/>
      <c r="BY19" s="67"/>
      <c r="BZ19" s="67"/>
      <c r="CA19" s="67"/>
      <c r="CB19" s="67"/>
      <c r="CC19" s="67"/>
      <c r="CD19" s="67"/>
      <c r="CE19" s="67"/>
      <c r="CF19" s="67"/>
      <c r="CG19" s="67"/>
      <c r="CH19" s="67"/>
      <c r="CI19" s="67"/>
      <c r="CJ19" s="67"/>
      <c r="CK19" s="67"/>
      <c r="CL19" s="67"/>
      <c r="CM19" s="67"/>
      <c r="CN19" s="67"/>
      <c r="CO19" s="67"/>
      <c r="CP19" s="68"/>
      <c r="CQ19" s="66"/>
      <c r="CR19" s="67"/>
      <c r="CS19" s="67"/>
      <c r="CT19" s="67"/>
      <c r="CU19" s="67"/>
      <c r="CV19" s="67"/>
      <c r="CW19" s="67"/>
      <c r="CX19" s="67"/>
      <c r="CY19" s="67"/>
      <c r="CZ19" s="67"/>
      <c r="DA19" s="67"/>
      <c r="DB19" s="67"/>
      <c r="DC19" s="67"/>
      <c r="DD19" s="67"/>
      <c r="DE19" s="67"/>
      <c r="DF19" s="67"/>
      <c r="DG19" s="67"/>
      <c r="DH19" s="67"/>
      <c r="DI19" s="67"/>
      <c r="DJ19" s="67"/>
      <c r="DK19" s="67"/>
      <c r="DL19" s="67"/>
      <c r="DM19" s="67"/>
      <c r="DN19" s="67"/>
      <c r="DO19" s="67"/>
      <c r="DP19" s="67"/>
      <c r="DQ19" s="67"/>
      <c r="DR19" s="67"/>
      <c r="DS19" s="67"/>
      <c r="DT19" s="68"/>
      <c r="DU19" s="66"/>
      <c r="DV19" s="67"/>
      <c r="DW19" s="67"/>
      <c r="DX19" s="67"/>
      <c r="DY19" s="67"/>
      <c r="DZ19" s="67"/>
      <c r="EA19" s="67"/>
      <c r="EB19" s="67"/>
      <c r="EC19" s="67"/>
      <c r="ED19" s="67"/>
      <c r="EE19" s="67"/>
      <c r="EF19" s="67"/>
      <c r="EG19" s="67"/>
      <c r="EH19" s="67"/>
      <c r="EI19" s="67"/>
      <c r="EJ19" s="67"/>
      <c r="EK19" s="67"/>
      <c r="EL19" s="67"/>
      <c r="EM19" s="67"/>
      <c r="EN19" s="67"/>
      <c r="EO19" s="67"/>
      <c r="EP19" s="67"/>
      <c r="EQ19" s="67"/>
      <c r="ER19" s="67"/>
      <c r="ES19" s="67"/>
      <c r="ET19" s="67"/>
      <c r="EU19" s="67"/>
      <c r="EV19" s="67"/>
      <c r="EW19" s="67"/>
      <c r="EX19" s="67"/>
      <c r="EY19" s="68"/>
      <c r="EZ19" s="66"/>
      <c r="FA19" s="67"/>
      <c r="FB19" s="67"/>
      <c r="FC19" s="67"/>
      <c r="FD19" s="67"/>
      <c r="FE19" s="67"/>
      <c r="FF19" s="67"/>
      <c r="FG19" s="67"/>
      <c r="FH19" s="67"/>
      <c r="FI19" s="67"/>
      <c r="FJ19" s="67"/>
      <c r="FK19" s="67"/>
      <c r="FL19" s="67"/>
      <c r="FM19" s="67"/>
      <c r="FN19" s="67"/>
      <c r="FO19" s="67"/>
      <c r="FP19" s="67"/>
      <c r="FQ19" s="67"/>
      <c r="FR19" s="67"/>
      <c r="FS19" s="67"/>
      <c r="FT19" s="67"/>
      <c r="FU19" s="67"/>
      <c r="FV19" s="67"/>
      <c r="FW19" s="67"/>
      <c r="FX19" s="67"/>
      <c r="FY19" s="67"/>
      <c r="FZ19" s="67"/>
      <c r="GA19" s="67"/>
      <c r="GB19" s="67"/>
      <c r="GC19" s="68"/>
      <c r="GD19" s="66"/>
      <c r="GE19" s="67"/>
      <c r="GF19" s="67"/>
      <c r="GG19" s="67"/>
      <c r="GH19" s="67"/>
      <c r="GI19" s="67"/>
      <c r="GJ19" s="67"/>
      <c r="GK19" s="67"/>
      <c r="GL19" s="67"/>
      <c r="GM19" s="67"/>
      <c r="GN19" s="67"/>
      <c r="GO19" s="67"/>
      <c r="GP19" s="67"/>
      <c r="GQ19" s="67"/>
      <c r="GR19" s="67"/>
      <c r="GS19" s="67"/>
      <c r="GT19" s="67"/>
      <c r="GU19" s="67"/>
      <c r="GV19" s="67"/>
      <c r="GW19" s="67"/>
      <c r="GX19" s="67"/>
      <c r="GY19" s="67"/>
      <c r="GZ19" s="67"/>
      <c r="HA19" s="67"/>
      <c r="HB19" s="67"/>
      <c r="HC19" s="67"/>
      <c r="HD19" s="67"/>
      <c r="HE19" s="67"/>
      <c r="HF19" s="67"/>
      <c r="HG19" s="67"/>
      <c r="HH19" s="68"/>
      <c r="HI19" s="66"/>
      <c r="HJ19" s="67"/>
      <c r="HK19" s="67"/>
      <c r="HL19" s="67"/>
      <c r="HM19" s="67"/>
      <c r="HN19" s="67"/>
      <c r="HO19" s="67"/>
      <c r="HP19" s="67"/>
      <c r="HQ19" s="67"/>
      <c r="HR19" s="67"/>
      <c r="HS19" s="67"/>
      <c r="HT19" s="67"/>
      <c r="HU19" s="67"/>
      <c r="HV19" s="67"/>
      <c r="HW19" s="67"/>
      <c r="HX19" s="67"/>
      <c r="HY19" s="67"/>
      <c r="HZ19" s="67"/>
      <c r="IA19" s="67"/>
      <c r="IB19" s="67"/>
      <c r="IC19" s="67"/>
      <c r="ID19" s="67"/>
      <c r="IE19" s="67"/>
      <c r="IF19" s="67"/>
      <c r="IG19" s="67"/>
      <c r="IH19" s="67"/>
      <c r="II19" s="67"/>
      <c r="IJ19" s="67"/>
      <c r="IK19" s="67"/>
      <c r="IL19" s="67"/>
      <c r="IM19" s="68"/>
      <c r="IN19" s="66"/>
      <c r="IO19" s="67"/>
      <c r="IP19" s="67"/>
      <c r="IQ19" s="67"/>
      <c r="IR19" s="67"/>
      <c r="IS19" s="67"/>
      <c r="IT19" s="67"/>
      <c r="IU19" s="67"/>
      <c r="IV19" s="67"/>
      <c r="IW19" s="67"/>
      <c r="IX19" s="67"/>
      <c r="IY19" s="67"/>
      <c r="IZ19" s="67"/>
      <c r="JA19" s="67"/>
      <c r="JB19" s="67"/>
      <c r="JC19" s="67"/>
      <c r="JD19" s="67"/>
      <c r="JE19" s="67"/>
      <c r="JF19" s="67"/>
      <c r="JG19" s="67"/>
      <c r="JH19" s="67"/>
      <c r="JI19" s="67"/>
      <c r="JJ19" s="67"/>
      <c r="JK19" s="67"/>
      <c r="JL19" s="67"/>
      <c r="JM19" s="67"/>
      <c r="JN19" s="67"/>
      <c r="JO19" s="67"/>
      <c r="JP19" s="67"/>
      <c r="JQ19" s="68"/>
      <c r="JR19" s="66"/>
      <c r="JS19" s="67"/>
      <c r="JT19" s="67"/>
      <c r="JU19" s="67"/>
      <c r="JV19" s="67"/>
      <c r="JW19" s="67"/>
      <c r="JX19" s="67"/>
      <c r="JY19" s="67"/>
      <c r="JZ19" s="67"/>
      <c r="KA19" s="67"/>
      <c r="KB19" s="67"/>
      <c r="KC19" s="67"/>
      <c r="KD19" s="67"/>
      <c r="KE19" s="67"/>
      <c r="KF19" s="67"/>
      <c r="KG19" s="67"/>
      <c r="KH19" s="67"/>
      <c r="KI19" s="67"/>
      <c r="KJ19" s="67"/>
      <c r="KK19" s="67"/>
      <c r="KL19" s="67"/>
      <c r="KM19" s="67"/>
      <c r="KN19" s="67"/>
      <c r="KO19" s="67"/>
      <c r="KP19" s="67"/>
      <c r="KQ19" s="67"/>
      <c r="KR19" s="67"/>
      <c r="KS19" s="67"/>
      <c r="KT19" s="67"/>
      <c r="KU19" s="67"/>
      <c r="KV19" s="68"/>
      <c r="KW19" s="66"/>
      <c r="KX19" s="67"/>
      <c r="KY19" s="67"/>
      <c r="KZ19" s="67"/>
      <c r="LA19" s="67"/>
      <c r="LB19" s="67"/>
      <c r="LC19" s="67"/>
      <c r="LD19" s="67"/>
      <c r="LE19" s="67"/>
      <c r="LF19" s="67"/>
      <c r="LG19" s="67"/>
      <c r="LH19" s="67"/>
      <c r="LI19" s="67"/>
      <c r="LJ19" s="67"/>
      <c r="LK19" s="67"/>
      <c r="LL19" s="67"/>
      <c r="LM19" s="67"/>
      <c r="LN19" s="67"/>
      <c r="LO19" s="67"/>
      <c r="LP19" s="67"/>
      <c r="LQ19" s="67"/>
      <c r="LR19" s="67"/>
      <c r="LS19" s="67"/>
      <c r="LT19" s="67"/>
      <c r="LU19" s="67"/>
      <c r="LV19" s="67"/>
      <c r="LW19" s="67"/>
      <c r="LX19" s="67"/>
      <c r="LY19" s="67"/>
      <c r="LZ19" s="68"/>
      <c r="MA19" s="66"/>
      <c r="MB19" s="67"/>
      <c r="MC19" s="67"/>
      <c r="MD19" s="67"/>
      <c r="ME19" s="67"/>
      <c r="MF19" s="67"/>
      <c r="MG19" s="67"/>
      <c r="MH19" s="67"/>
      <c r="MI19" s="67"/>
      <c r="MJ19" s="67"/>
      <c r="MK19" s="67"/>
      <c r="ML19" s="67"/>
      <c r="MM19" s="67"/>
      <c r="MN19" s="67"/>
      <c r="MO19" s="67"/>
      <c r="MP19" s="67"/>
      <c r="MQ19" s="67"/>
      <c r="MR19" s="67"/>
      <c r="MS19" s="67"/>
      <c r="MT19" s="67"/>
      <c r="MU19" s="67"/>
      <c r="MV19" s="67"/>
      <c r="MW19" s="67"/>
      <c r="MX19" s="67"/>
      <c r="MY19" s="67"/>
      <c r="MZ19" s="67"/>
      <c r="NA19" s="67"/>
      <c r="NB19" s="67"/>
      <c r="NC19" s="67"/>
      <c r="ND19" s="67"/>
      <c r="NE19" s="68"/>
    </row>
    <row r="20" spans="1:369" x14ac:dyDescent="0.25">
      <c r="A20" s="57"/>
      <c r="B20" s="64"/>
      <c r="C20" s="65"/>
      <c r="D20" s="65"/>
      <c r="E20" s="66"/>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8"/>
      <c r="AJ20" s="66"/>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8"/>
      <c r="BL20" s="66"/>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8"/>
      <c r="CQ20" s="66"/>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8"/>
      <c r="DU20" s="66"/>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8"/>
      <c r="EZ20" s="66"/>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8"/>
      <c r="GD20" s="66"/>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8"/>
      <c r="HI20" s="66"/>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8"/>
      <c r="IN20" s="66"/>
      <c r="IO20" s="67"/>
      <c r="IP20" s="67"/>
      <c r="IQ20" s="67"/>
      <c r="IR20" s="67"/>
      <c r="IS20" s="67"/>
      <c r="IT20" s="67"/>
      <c r="IU20" s="67"/>
      <c r="IV20" s="67"/>
      <c r="IW20" s="67"/>
      <c r="IX20" s="67"/>
      <c r="IY20" s="67"/>
      <c r="IZ20" s="67"/>
      <c r="JA20" s="67"/>
      <c r="JB20" s="67"/>
      <c r="JC20" s="67"/>
      <c r="JD20" s="67"/>
      <c r="JE20" s="67"/>
      <c r="JF20" s="67"/>
      <c r="JG20" s="67"/>
      <c r="JH20" s="67"/>
      <c r="JI20" s="67"/>
      <c r="JJ20" s="67"/>
      <c r="JK20" s="67"/>
      <c r="JL20" s="67"/>
      <c r="JM20" s="67"/>
      <c r="JN20" s="67"/>
      <c r="JO20" s="67"/>
      <c r="JP20" s="67"/>
      <c r="JQ20" s="68"/>
      <c r="JR20" s="66"/>
      <c r="JS20" s="67"/>
      <c r="JT20" s="67"/>
      <c r="JU20" s="67"/>
      <c r="JV20" s="67"/>
      <c r="JW20" s="67"/>
      <c r="JX20" s="67"/>
      <c r="JY20" s="67"/>
      <c r="JZ20" s="67"/>
      <c r="KA20" s="67"/>
      <c r="KB20" s="67"/>
      <c r="KC20" s="67"/>
      <c r="KD20" s="67"/>
      <c r="KE20" s="67"/>
      <c r="KF20" s="67"/>
      <c r="KG20" s="67"/>
      <c r="KH20" s="67"/>
      <c r="KI20" s="67"/>
      <c r="KJ20" s="67"/>
      <c r="KK20" s="67"/>
      <c r="KL20" s="67"/>
      <c r="KM20" s="67"/>
      <c r="KN20" s="67"/>
      <c r="KO20" s="67"/>
      <c r="KP20" s="67"/>
      <c r="KQ20" s="67"/>
      <c r="KR20" s="67"/>
      <c r="KS20" s="67"/>
      <c r="KT20" s="67"/>
      <c r="KU20" s="67"/>
      <c r="KV20" s="68"/>
      <c r="KW20" s="66"/>
      <c r="KX20" s="67"/>
      <c r="KY20" s="67"/>
      <c r="KZ20" s="67"/>
      <c r="LA20" s="67"/>
      <c r="LB20" s="67"/>
      <c r="LC20" s="67"/>
      <c r="LD20" s="67"/>
      <c r="LE20" s="67"/>
      <c r="LF20" s="67"/>
      <c r="LG20" s="67"/>
      <c r="LH20" s="67"/>
      <c r="LI20" s="67"/>
      <c r="LJ20" s="67"/>
      <c r="LK20" s="67"/>
      <c r="LL20" s="67"/>
      <c r="LM20" s="67"/>
      <c r="LN20" s="67"/>
      <c r="LO20" s="67"/>
      <c r="LP20" s="67"/>
      <c r="LQ20" s="67"/>
      <c r="LR20" s="67"/>
      <c r="LS20" s="67"/>
      <c r="LT20" s="67"/>
      <c r="LU20" s="67"/>
      <c r="LV20" s="67"/>
      <c r="LW20" s="67"/>
      <c r="LX20" s="67"/>
      <c r="LY20" s="67"/>
      <c r="LZ20" s="68"/>
      <c r="MA20" s="66"/>
      <c r="MB20" s="67"/>
      <c r="MC20" s="67"/>
      <c r="MD20" s="67"/>
      <c r="ME20" s="67"/>
      <c r="MF20" s="67"/>
      <c r="MG20" s="67"/>
      <c r="MH20" s="67"/>
      <c r="MI20" s="67"/>
      <c r="MJ20" s="67"/>
      <c r="MK20" s="67"/>
      <c r="ML20" s="67"/>
      <c r="MM20" s="67"/>
      <c r="MN20" s="67"/>
      <c r="MO20" s="67"/>
      <c r="MP20" s="67"/>
      <c r="MQ20" s="67"/>
      <c r="MR20" s="67"/>
      <c r="MS20" s="67"/>
      <c r="MT20" s="67"/>
      <c r="MU20" s="67"/>
      <c r="MV20" s="67"/>
      <c r="MW20" s="67"/>
      <c r="MX20" s="67"/>
      <c r="MY20" s="67"/>
      <c r="MZ20" s="67"/>
      <c r="NA20" s="67"/>
      <c r="NB20" s="67"/>
      <c r="NC20" s="67"/>
      <c r="ND20" s="67"/>
      <c r="NE20" s="68"/>
    </row>
    <row r="21" spans="1:369" x14ac:dyDescent="0.25">
      <c r="A21" s="63"/>
      <c r="B21" s="64"/>
      <c r="C21" s="65"/>
      <c r="D21" s="65"/>
      <c r="E21" s="66"/>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8"/>
      <c r="AJ21" s="66"/>
      <c r="AK21" s="67"/>
      <c r="AL21" s="67"/>
      <c r="AM21" s="67"/>
      <c r="AN21" s="67"/>
      <c r="AO21" s="67"/>
      <c r="AP21" s="67"/>
      <c r="AQ21" s="67"/>
      <c r="AR21" s="67"/>
      <c r="AS21" s="67"/>
      <c r="AT21" s="67"/>
      <c r="AU21" s="67"/>
      <c r="AV21" s="67"/>
      <c r="AW21" s="67"/>
      <c r="AX21" s="67"/>
      <c r="AY21" s="67"/>
      <c r="AZ21" s="67"/>
      <c r="BA21" s="67"/>
      <c r="BB21" s="67"/>
      <c r="BC21" s="67"/>
      <c r="BD21" s="67"/>
      <c r="BE21" s="67"/>
      <c r="BF21" s="67"/>
      <c r="BG21" s="67"/>
      <c r="BH21" s="67"/>
      <c r="BI21" s="67"/>
      <c r="BJ21" s="67"/>
      <c r="BK21" s="68"/>
      <c r="BL21" s="66"/>
      <c r="BM21" s="67"/>
      <c r="BN21" s="67"/>
      <c r="BO21" s="67"/>
      <c r="BP21" s="67"/>
      <c r="BQ21" s="67"/>
      <c r="BR21" s="67"/>
      <c r="BS21" s="67"/>
      <c r="BT21" s="67"/>
      <c r="BU21" s="67"/>
      <c r="BV21" s="67"/>
      <c r="BW21" s="67"/>
      <c r="BX21" s="67"/>
      <c r="BY21" s="67"/>
      <c r="BZ21" s="67"/>
      <c r="CA21" s="67"/>
      <c r="CB21" s="67"/>
      <c r="CC21" s="67"/>
      <c r="CD21" s="67"/>
      <c r="CE21" s="67"/>
      <c r="CF21" s="67"/>
      <c r="CG21" s="67"/>
      <c r="CH21" s="67"/>
      <c r="CI21" s="67"/>
      <c r="CJ21" s="67"/>
      <c r="CK21" s="67"/>
      <c r="CL21" s="67"/>
      <c r="CM21" s="67"/>
      <c r="CN21" s="67"/>
      <c r="CO21" s="67"/>
      <c r="CP21" s="68"/>
      <c r="CQ21" s="66"/>
      <c r="CR21" s="67"/>
      <c r="CS21" s="67"/>
      <c r="CT21" s="67"/>
      <c r="CU21" s="67"/>
      <c r="CV21" s="67"/>
      <c r="CW21" s="67"/>
      <c r="CX21" s="67"/>
      <c r="CY21" s="67"/>
      <c r="CZ21" s="67"/>
      <c r="DA21" s="67"/>
      <c r="DB21" s="67"/>
      <c r="DC21" s="67"/>
      <c r="DD21" s="67"/>
      <c r="DE21" s="67"/>
      <c r="DF21" s="67"/>
      <c r="DG21" s="67"/>
      <c r="DH21" s="67"/>
      <c r="DI21" s="67"/>
      <c r="DJ21" s="67"/>
      <c r="DK21" s="67"/>
      <c r="DL21" s="67"/>
      <c r="DM21" s="67"/>
      <c r="DN21" s="67"/>
      <c r="DO21" s="67"/>
      <c r="DP21" s="67"/>
      <c r="DQ21" s="67"/>
      <c r="DR21" s="67"/>
      <c r="DS21" s="67"/>
      <c r="DT21" s="68"/>
      <c r="DU21" s="66"/>
      <c r="DV21" s="67"/>
      <c r="DW21" s="67"/>
      <c r="DX21" s="67"/>
      <c r="DY21" s="67"/>
      <c r="DZ21" s="67"/>
      <c r="EA21" s="67"/>
      <c r="EB21" s="67"/>
      <c r="EC21" s="67"/>
      <c r="ED21" s="67"/>
      <c r="EE21" s="67"/>
      <c r="EF21" s="67"/>
      <c r="EG21" s="67"/>
      <c r="EH21" s="67"/>
      <c r="EI21" s="67"/>
      <c r="EJ21" s="67"/>
      <c r="EK21" s="67"/>
      <c r="EL21" s="67"/>
      <c r="EM21" s="67"/>
      <c r="EN21" s="67"/>
      <c r="EO21" s="67"/>
      <c r="EP21" s="67"/>
      <c r="EQ21" s="67"/>
      <c r="ER21" s="67"/>
      <c r="ES21" s="67"/>
      <c r="ET21" s="67"/>
      <c r="EU21" s="67"/>
      <c r="EV21" s="67"/>
      <c r="EW21" s="67"/>
      <c r="EX21" s="67"/>
      <c r="EY21" s="68"/>
      <c r="EZ21" s="66"/>
      <c r="FA21" s="67"/>
      <c r="FB21" s="67"/>
      <c r="FC21" s="67"/>
      <c r="FD21" s="67"/>
      <c r="FE21" s="67"/>
      <c r="FF21" s="67"/>
      <c r="FG21" s="67"/>
      <c r="FH21" s="67"/>
      <c r="FI21" s="67"/>
      <c r="FJ21" s="67"/>
      <c r="FK21" s="67"/>
      <c r="FL21" s="67"/>
      <c r="FM21" s="67"/>
      <c r="FN21" s="67"/>
      <c r="FO21" s="67"/>
      <c r="FP21" s="67"/>
      <c r="FQ21" s="67"/>
      <c r="FR21" s="67"/>
      <c r="FS21" s="67"/>
      <c r="FT21" s="67"/>
      <c r="FU21" s="67"/>
      <c r="FV21" s="67"/>
      <c r="FW21" s="67"/>
      <c r="FX21" s="67"/>
      <c r="FY21" s="67"/>
      <c r="FZ21" s="67"/>
      <c r="GA21" s="67"/>
      <c r="GB21" s="67"/>
      <c r="GC21" s="68"/>
      <c r="GD21" s="66"/>
      <c r="GE21" s="67"/>
      <c r="GF21" s="67"/>
      <c r="GG21" s="67"/>
      <c r="GH21" s="67"/>
      <c r="GI21" s="67"/>
      <c r="GJ21" s="67"/>
      <c r="GK21" s="67"/>
      <c r="GL21" s="67"/>
      <c r="GM21" s="67"/>
      <c r="GN21" s="67"/>
      <c r="GO21" s="67"/>
      <c r="GP21" s="67"/>
      <c r="GQ21" s="67"/>
      <c r="GR21" s="67"/>
      <c r="GS21" s="67"/>
      <c r="GT21" s="67"/>
      <c r="GU21" s="67"/>
      <c r="GV21" s="67"/>
      <c r="GW21" s="67"/>
      <c r="GX21" s="67"/>
      <c r="GY21" s="67"/>
      <c r="GZ21" s="67"/>
      <c r="HA21" s="67"/>
      <c r="HB21" s="67"/>
      <c r="HC21" s="67"/>
      <c r="HD21" s="67"/>
      <c r="HE21" s="67"/>
      <c r="HF21" s="67"/>
      <c r="HG21" s="67"/>
      <c r="HH21" s="68"/>
      <c r="HI21" s="66"/>
      <c r="HJ21" s="67"/>
      <c r="HK21" s="67"/>
      <c r="HL21" s="67"/>
      <c r="HM21" s="67"/>
      <c r="HN21" s="67"/>
      <c r="HO21" s="67"/>
      <c r="HP21" s="67"/>
      <c r="HQ21" s="67"/>
      <c r="HR21" s="67"/>
      <c r="HS21" s="67"/>
      <c r="HT21" s="67"/>
      <c r="HU21" s="67"/>
      <c r="HV21" s="67"/>
      <c r="HW21" s="67"/>
      <c r="HX21" s="67"/>
      <c r="HY21" s="67"/>
      <c r="HZ21" s="67"/>
      <c r="IA21" s="67"/>
      <c r="IB21" s="67"/>
      <c r="IC21" s="67"/>
      <c r="ID21" s="67"/>
      <c r="IE21" s="67"/>
      <c r="IF21" s="67"/>
      <c r="IG21" s="67"/>
      <c r="IH21" s="67"/>
      <c r="II21" s="67"/>
      <c r="IJ21" s="67"/>
      <c r="IK21" s="67"/>
      <c r="IL21" s="67"/>
      <c r="IM21" s="68"/>
      <c r="IN21" s="66"/>
      <c r="IO21" s="67"/>
      <c r="IP21" s="67"/>
      <c r="IQ21" s="67"/>
      <c r="IR21" s="67"/>
      <c r="IS21" s="67"/>
      <c r="IT21" s="67"/>
      <c r="IU21" s="67"/>
      <c r="IV21" s="67"/>
      <c r="IW21" s="67"/>
      <c r="IX21" s="67"/>
      <c r="IY21" s="67"/>
      <c r="IZ21" s="67"/>
      <c r="JA21" s="67"/>
      <c r="JB21" s="67"/>
      <c r="JC21" s="67"/>
      <c r="JD21" s="67"/>
      <c r="JE21" s="67"/>
      <c r="JF21" s="67"/>
      <c r="JG21" s="67"/>
      <c r="JH21" s="67"/>
      <c r="JI21" s="67"/>
      <c r="JJ21" s="67"/>
      <c r="JK21" s="67"/>
      <c r="JL21" s="67"/>
      <c r="JM21" s="67"/>
      <c r="JN21" s="67"/>
      <c r="JO21" s="67"/>
      <c r="JP21" s="67"/>
      <c r="JQ21" s="68"/>
      <c r="JR21" s="66"/>
      <c r="JS21" s="67"/>
      <c r="JT21" s="67"/>
      <c r="JU21" s="67"/>
      <c r="JV21" s="67"/>
      <c r="JW21" s="67"/>
      <c r="JX21" s="67"/>
      <c r="JY21" s="67"/>
      <c r="JZ21" s="67"/>
      <c r="KA21" s="67"/>
      <c r="KB21" s="67"/>
      <c r="KC21" s="67"/>
      <c r="KD21" s="67"/>
      <c r="KE21" s="67"/>
      <c r="KF21" s="67"/>
      <c r="KG21" s="67"/>
      <c r="KH21" s="67"/>
      <c r="KI21" s="67"/>
      <c r="KJ21" s="67"/>
      <c r="KK21" s="67"/>
      <c r="KL21" s="67"/>
      <c r="KM21" s="67"/>
      <c r="KN21" s="67"/>
      <c r="KO21" s="67"/>
      <c r="KP21" s="67"/>
      <c r="KQ21" s="67"/>
      <c r="KR21" s="67"/>
      <c r="KS21" s="67"/>
      <c r="KT21" s="67"/>
      <c r="KU21" s="67"/>
      <c r="KV21" s="68"/>
      <c r="KW21" s="66"/>
      <c r="KX21" s="67"/>
      <c r="KY21" s="67"/>
      <c r="KZ21" s="67"/>
      <c r="LA21" s="67"/>
      <c r="LB21" s="67"/>
      <c r="LC21" s="67"/>
      <c r="LD21" s="67"/>
      <c r="LE21" s="67"/>
      <c r="LF21" s="67"/>
      <c r="LG21" s="67"/>
      <c r="LH21" s="67"/>
      <c r="LI21" s="67"/>
      <c r="LJ21" s="67"/>
      <c r="LK21" s="67"/>
      <c r="LL21" s="67"/>
      <c r="LM21" s="67"/>
      <c r="LN21" s="67"/>
      <c r="LO21" s="67"/>
      <c r="LP21" s="67"/>
      <c r="LQ21" s="67"/>
      <c r="LR21" s="67"/>
      <c r="LS21" s="67"/>
      <c r="LT21" s="67"/>
      <c r="LU21" s="67"/>
      <c r="LV21" s="67"/>
      <c r="LW21" s="67"/>
      <c r="LX21" s="67"/>
      <c r="LY21" s="67"/>
      <c r="LZ21" s="68"/>
      <c r="MA21" s="66"/>
      <c r="MB21" s="67"/>
      <c r="MC21" s="67"/>
      <c r="MD21" s="67"/>
      <c r="ME21" s="67"/>
      <c r="MF21" s="67"/>
      <c r="MG21" s="67"/>
      <c r="MH21" s="67"/>
      <c r="MI21" s="67"/>
      <c r="MJ21" s="67"/>
      <c r="MK21" s="67"/>
      <c r="ML21" s="67"/>
      <c r="MM21" s="67"/>
      <c r="MN21" s="67"/>
      <c r="MO21" s="67"/>
      <c r="MP21" s="67"/>
      <c r="MQ21" s="67"/>
      <c r="MR21" s="67"/>
      <c r="MS21" s="67"/>
      <c r="MT21" s="67"/>
      <c r="MU21" s="67"/>
      <c r="MV21" s="67"/>
      <c r="MW21" s="67"/>
      <c r="MX21" s="67"/>
      <c r="MY21" s="67"/>
      <c r="MZ21" s="67"/>
      <c r="NA21" s="67"/>
      <c r="NB21" s="67"/>
      <c r="NC21" s="67"/>
      <c r="ND21" s="67"/>
      <c r="NE21" s="68"/>
    </row>
    <row r="22" spans="1:369" x14ac:dyDescent="0.25">
      <c r="A22" s="57"/>
      <c r="B22" s="64"/>
      <c r="C22" s="65"/>
      <c r="D22" s="65"/>
      <c r="E22" s="66"/>
      <c r="F22" s="67"/>
      <c r="G22" s="67"/>
      <c r="H22" s="67"/>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8"/>
      <c r="AJ22" s="66"/>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8"/>
      <c r="BL22" s="66"/>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8"/>
      <c r="CQ22" s="66"/>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c r="DR22" s="67"/>
      <c r="DS22" s="67"/>
      <c r="DT22" s="68"/>
      <c r="DU22" s="66"/>
      <c r="DV22" s="67"/>
      <c r="DW22" s="67"/>
      <c r="DX22" s="67"/>
      <c r="DY22" s="67"/>
      <c r="DZ22" s="67"/>
      <c r="EA22" s="67"/>
      <c r="EB22" s="67"/>
      <c r="EC22" s="67"/>
      <c r="ED22" s="67"/>
      <c r="EE22" s="67"/>
      <c r="EF22" s="67"/>
      <c r="EG22" s="67"/>
      <c r="EH22" s="67"/>
      <c r="EI22" s="67"/>
      <c r="EJ22" s="67"/>
      <c r="EK22" s="67"/>
      <c r="EL22" s="67"/>
      <c r="EM22" s="67"/>
      <c r="EN22" s="67"/>
      <c r="EO22" s="67"/>
      <c r="EP22" s="67"/>
      <c r="EQ22" s="67"/>
      <c r="ER22" s="67"/>
      <c r="ES22" s="67"/>
      <c r="ET22" s="67"/>
      <c r="EU22" s="67"/>
      <c r="EV22" s="67"/>
      <c r="EW22" s="67"/>
      <c r="EX22" s="67"/>
      <c r="EY22" s="68"/>
      <c r="EZ22" s="66"/>
      <c r="FA22" s="67"/>
      <c r="FB22" s="67"/>
      <c r="FC22" s="67"/>
      <c r="FD22" s="67"/>
      <c r="FE22" s="67"/>
      <c r="FF22" s="67"/>
      <c r="FG22" s="67"/>
      <c r="FH22" s="67"/>
      <c r="FI22" s="67"/>
      <c r="FJ22" s="67"/>
      <c r="FK22" s="67"/>
      <c r="FL22" s="67"/>
      <c r="FM22" s="67"/>
      <c r="FN22" s="67"/>
      <c r="FO22" s="67"/>
      <c r="FP22" s="67"/>
      <c r="FQ22" s="67"/>
      <c r="FR22" s="67"/>
      <c r="FS22" s="67"/>
      <c r="FT22" s="67"/>
      <c r="FU22" s="67"/>
      <c r="FV22" s="67"/>
      <c r="FW22" s="67"/>
      <c r="FX22" s="67"/>
      <c r="FY22" s="67"/>
      <c r="FZ22" s="67"/>
      <c r="GA22" s="67"/>
      <c r="GB22" s="67"/>
      <c r="GC22" s="68"/>
      <c r="GD22" s="66"/>
      <c r="GE22" s="67"/>
      <c r="GF22" s="67"/>
      <c r="GG22" s="67"/>
      <c r="GH22" s="67"/>
      <c r="GI22" s="67"/>
      <c r="GJ22" s="67"/>
      <c r="GK22" s="67"/>
      <c r="GL22" s="67"/>
      <c r="GM22" s="67"/>
      <c r="GN22" s="67"/>
      <c r="GO22" s="67"/>
      <c r="GP22" s="67"/>
      <c r="GQ22" s="67"/>
      <c r="GR22" s="67"/>
      <c r="GS22" s="67"/>
      <c r="GT22" s="67"/>
      <c r="GU22" s="67"/>
      <c r="GV22" s="67"/>
      <c r="GW22" s="67"/>
      <c r="GX22" s="67"/>
      <c r="GY22" s="67"/>
      <c r="GZ22" s="67"/>
      <c r="HA22" s="67"/>
      <c r="HB22" s="67"/>
      <c r="HC22" s="67"/>
      <c r="HD22" s="67"/>
      <c r="HE22" s="67"/>
      <c r="HF22" s="67"/>
      <c r="HG22" s="67"/>
      <c r="HH22" s="68"/>
      <c r="HI22" s="66"/>
      <c r="HJ22" s="67"/>
      <c r="HK22" s="67"/>
      <c r="HL22" s="67"/>
      <c r="HM22" s="67"/>
      <c r="HN22" s="67"/>
      <c r="HO22" s="67"/>
      <c r="HP22" s="67"/>
      <c r="HQ22" s="67"/>
      <c r="HR22" s="67"/>
      <c r="HS22" s="67"/>
      <c r="HT22" s="67"/>
      <c r="HU22" s="67"/>
      <c r="HV22" s="67"/>
      <c r="HW22" s="67"/>
      <c r="HX22" s="67"/>
      <c r="HY22" s="67"/>
      <c r="HZ22" s="67"/>
      <c r="IA22" s="67"/>
      <c r="IB22" s="67"/>
      <c r="IC22" s="67"/>
      <c r="ID22" s="67"/>
      <c r="IE22" s="67"/>
      <c r="IF22" s="67"/>
      <c r="IG22" s="67"/>
      <c r="IH22" s="67"/>
      <c r="II22" s="67"/>
      <c r="IJ22" s="67"/>
      <c r="IK22" s="67"/>
      <c r="IL22" s="67"/>
      <c r="IM22" s="68"/>
      <c r="IN22" s="66"/>
      <c r="IO22" s="67"/>
      <c r="IP22" s="67"/>
      <c r="IQ22" s="67"/>
      <c r="IR22" s="67"/>
      <c r="IS22" s="67"/>
      <c r="IT22" s="67"/>
      <c r="IU22" s="67"/>
      <c r="IV22" s="67"/>
      <c r="IW22" s="67"/>
      <c r="IX22" s="67"/>
      <c r="IY22" s="67"/>
      <c r="IZ22" s="67"/>
      <c r="JA22" s="67"/>
      <c r="JB22" s="67"/>
      <c r="JC22" s="67"/>
      <c r="JD22" s="67"/>
      <c r="JE22" s="67"/>
      <c r="JF22" s="67"/>
      <c r="JG22" s="67"/>
      <c r="JH22" s="67"/>
      <c r="JI22" s="67"/>
      <c r="JJ22" s="67"/>
      <c r="JK22" s="67"/>
      <c r="JL22" s="67"/>
      <c r="JM22" s="67"/>
      <c r="JN22" s="67"/>
      <c r="JO22" s="67"/>
      <c r="JP22" s="67"/>
      <c r="JQ22" s="68"/>
      <c r="JR22" s="66"/>
      <c r="JS22" s="67"/>
      <c r="JT22" s="67"/>
      <c r="JU22" s="67"/>
      <c r="JV22" s="67"/>
      <c r="JW22" s="67"/>
      <c r="JX22" s="67"/>
      <c r="JY22" s="67"/>
      <c r="JZ22" s="67"/>
      <c r="KA22" s="67"/>
      <c r="KB22" s="67"/>
      <c r="KC22" s="67"/>
      <c r="KD22" s="67"/>
      <c r="KE22" s="67"/>
      <c r="KF22" s="67"/>
      <c r="KG22" s="67"/>
      <c r="KH22" s="67"/>
      <c r="KI22" s="67"/>
      <c r="KJ22" s="67"/>
      <c r="KK22" s="67"/>
      <c r="KL22" s="67"/>
      <c r="KM22" s="67"/>
      <c r="KN22" s="67"/>
      <c r="KO22" s="67"/>
      <c r="KP22" s="67"/>
      <c r="KQ22" s="67"/>
      <c r="KR22" s="67"/>
      <c r="KS22" s="67"/>
      <c r="KT22" s="67"/>
      <c r="KU22" s="67"/>
      <c r="KV22" s="68"/>
      <c r="KW22" s="66"/>
      <c r="KX22" s="67"/>
      <c r="KY22" s="67"/>
      <c r="KZ22" s="67"/>
      <c r="LA22" s="67"/>
      <c r="LB22" s="67"/>
      <c r="LC22" s="67"/>
      <c r="LD22" s="67"/>
      <c r="LE22" s="67"/>
      <c r="LF22" s="67"/>
      <c r="LG22" s="67"/>
      <c r="LH22" s="67"/>
      <c r="LI22" s="67"/>
      <c r="LJ22" s="67"/>
      <c r="LK22" s="67"/>
      <c r="LL22" s="67"/>
      <c r="LM22" s="67"/>
      <c r="LN22" s="67"/>
      <c r="LO22" s="67"/>
      <c r="LP22" s="67"/>
      <c r="LQ22" s="67"/>
      <c r="LR22" s="67"/>
      <c r="LS22" s="67"/>
      <c r="LT22" s="67"/>
      <c r="LU22" s="67"/>
      <c r="LV22" s="67"/>
      <c r="LW22" s="67"/>
      <c r="LX22" s="67"/>
      <c r="LY22" s="67"/>
      <c r="LZ22" s="68"/>
      <c r="MA22" s="66"/>
      <c r="MB22" s="67"/>
      <c r="MC22" s="67"/>
      <c r="MD22" s="67"/>
      <c r="ME22" s="67"/>
      <c r="MF22" s="67"/>
      <c r="MG22" s="67"/>
      <c r="MH22" s="67"/>
      <c r="MI22" s="67"/>
      <c r="MJ22" s="67"/>
      <c r="MK22" s="67"/>
      <c r="ML22" s="67"/>
      <c r="MM22" s="67"/>
      <c r="MN22" s="67"/>
      <c r="MO22" s="67"/>
      <c r="MP22" s="67"/>
      <c r="MQ22" s="67"/>
      <c r="MR22" s="67"/>
      <c r="MS22" s="67"/>
      <c r="MT22" s="67"/>
      <c r="MU22" s="67"/>
      <c r="MV22" s="67"/>
      <c r="MW22" s="67"/>
      <c r="MX22" s="67"/>
      <c r="MY22" s="67"/>
      <c r="MZ22" s="67"/>
      <c r="NA22" s="67"/>
      <c r="NB22" s="67"/>
      <c r="NC22" s="67"/>
      <c r="ND22" s="67"/>
      <c r="NE22" s="68"/>
    </row>
    <row r="23" spans="1:369" x14ac:dyDescent="0.25">
      <c r="A23" s="63"/>
      <c r="B23" s="64"/>
      <c r="C23" s="65"/>
      <c r="D23" s="65"/>
      <c r="E23" s="66"/>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8"/>
      <c r="AJ23" s="66"/>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8"/>
      <c r="BL23" s="66"/>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8"/>
      <c r="CQ23" s="66"/>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c r="DR23" s="67"/>
      <c r="DS23" s="67"/>
      <c r="DT23" s="68"/>
      <c r="DU23" s="66"/>
      <c r="DV23" s="67"/>
      <c r="DW23" s="67"/>
      <c r="DX23" s="67"/>
      <c r="DY23" s="67"/>
      <c r="DZ23" s="67"/>
      <c r="EA23" s="67"/>
      <c r="EB23" s="67"/>
      <c r="EC23" s="67"/>
      <c r="ED23" s="67"/>
      <c r="EE23" s="67"/>
      <c r="EF23" s="67"/>
      <c r="EG23" s="67"/>
      <c r="EH23" s="67"/>
      <c r="EI23" s="67"/>
      <c r="EJ23" s="67"/>
      <c r="EK23" s="67"/>
      <c r="EL23" s="67"/>
      <c r="EM23" s="67"/>
      <c r="EN23" s="67"/>
      <c r="EO23" s="67"/>
      <c r="EP23" s="67"/>
      <c r="EQ23" s="67"/>
      <c r="ER23" s="67"/>
      <c r="ES23" s="67"/>
      <c r="ET23" s="67"/>
      <c r="EU23" s="67"/>
      <c r="EV23" s="67"/>
      <c r="EW23" s="67"/>
      <c r="EX23" s="67"/>
      <c r="EY23" s="68"/>
      <c r="EZ23" s="66"/>
      <c r="FA23" s="67"/>
      <c r="FB23" s="67"/>
      <c r="FC23" s="67"/>
      <c r="FD23" s="67"/>
      <c r="FE23" s="67"/>
      <c r="FF23" s="67"/>
      <c r="FG23" s="67"/>
      <c r="FH23" s="67"/>
      <c r="FI23" s="67"/>
      <c r="FJ23" s="67"/>
      <c r="FK23" s="67"/>
      <c r="FL23" s="67"/>
      <c r="FM23" s="67"/>
      <c r="FN23" s="67"/>
      <c r="FO23" s="67"/>
      <c r="FP23" s="67"/>
      <c r="FQ23" s="67"/>
      <c r="FR23" s="67"/>
      <c r="FS23" s="67"/>
      <c r="FT23" s="67"/>
      <c r="FU23" s="67"/>
      <c r="FV23" s="67"/>
      <c r="FW23" s="67"/>
      <c r="FX23" s="67"/>
      <c r="FY23" s="67"/>
      <c r="FZ23" s="67"/>
      <c r="GA23" s="67"/>
      <c r="GB23" s="67"/>
      <c r="GC23" s="68"/>
      <c r="GD23" s="66"/>
      <c r="GE23" s="67"/>
      <c r="GF23" s="67"/>
      <c r="GG23" s="67"/>
      <c r="GH23" s="67"/>
      <c r="GI23" s="67"/>
      <c r="GJ23" s="67"/>
      <c r="GK23" s="67"/>
      <c r="GL23" s="67"/>
      <c r="GM23" s="67"/>
      <c r="GN23" s="67"/>
      <c r="GO23" s="67"/>
      <c r="GP23" s="67"/>
      <c r="GQ23" s="67"/>
      <c r="GR23" s="67"/>
      <c r="GS23" s="67"/>
      <c r="GT23" s="67"/>
      <c r="GU23" s="67"/>
      <c r="GV23" s="67"/>
      <c r="GW23" s="67"/>
      <c r="GX23" s="67"/>
      <c r="GY23" s="67"/>
      <c r="GZ23" s="67"/>
      <c r="HA23" s="67"/>
      <c r="HB23" s="67"/>
      <c r="HC23" s="67"/>
      <c r="HD23" s="67"/>
      <c r="HE23" s="67"/>
      <c r="HF23" s="67"/>
      <c r="HG23" s="67"/>
      <c r="HH23" s="68"/>
      <c r="HI23" s="66"/>
      <c r="HJ23" s="67"/>
      <c r="HK23" s="67"/>
      <c r="HL23" s="67"/>
      <c r="HM23" s="67"/>
      <c r="HN23" s="67"/>
      <c r="HO23" s="67"/>
      <c r="HP23" s="67"/>
      <c r="HQ23" s="67"/>
      <c r="HR23" s="67"/>
      <c r="HS23" s="67"/>
      <c r="HT23" s="67"/>
      <c r="HU23" s="67"/>
      <c r="HV23" s="67"/>
      <c r="HW23" s="67"/>
      <c r="HX23" s="67"/>
      <c r="HY23" s="67"/>
      <c r="HZ23" s="67"/>
      <c r="IA23" s="67"/>
      <c r="IB23" s="67"/>
      <c r="IC23" s="67"/>
      <c r="ID23" s="67"/>
      <c r="IE23" s="67"/>
      <c r="IF23" s="67"/>
      <c r="IG23" s="67"/>
      <c r="IH23" s="67"/>
      <c r="II23" s="67"/>
      <c r="IJ23" s="67"/>
      <c r="IK23" s="67"/>
      <c r="IL23" s="67"/>
      <c r="IM23" s="68"/>
      <c r="IN23" s="66"/>
      <c r="IO23" s="67"/>
      <c r="IP23" s="67"/>
      <c r="IQ23" s="67"/>
      <c r="IR23" s="67"/>
      <c r="IS23" s="67"/>
      <c r="IT23" s="67"/>
      <c r="IU23" s="67"/>
      <c r="IV23" s="67"/>
      <c r="IW23" s="67"/>
      <c r="IX23" s="67"/>
      <c r="IY23" s="67"/>
      <c r="IZ23" s="67"/>
      <c r="JA23" s="67"/>
      <c r="JB23" s="67"/>
      <c r="JC23" s="67"/>
      <c r="JD23" s="67"/>
      <c r="JE23" s="67"/>
      <c r="JF23" s="67"/>
      <c r="JG23" s="67"/>
      <c r="JH23" s="67"/>
      <c r="JI23" s="67"/>
      <c r="JJ23" s="67"/>
      <c r="JK23" s="67"/>
      <c r="JL23" s="67"/>
      <c r="JM23" s="67"/>
      <c r="JN23" s="67"/>
      <c r="JO23" s="67"/>
      <c r="JP23" s="67"/>
      <c r="JQ23" s="68"/>
      <c r="JR23" s="66"/>
      <c r="JS23" s="67"/>
      <c r="JT23" s="67"/>
      <c r="JU23" s="67"/>
      <c r="JV23" s="67"/>
      <c r="JW23" s="67"/>
      <c r="JX23" s="67"/>
      <c r="JY23" s="67"/>
      <c r="JZ23" s="67"/>
      <c r="KA23" s="67"/>
      <c r="KB23" s="67"/>
      <c r="KC23" s="67"/>
      <c r="KD23" s="67"/>
      <c r="KE23" s="67"/>
      <c r="KF23" s="67"/>
      <c r="KG23" s="67"/>
      <c r="KH23" s="67"/>
      <c r="KI23" s="67"/>
      <c r="KJ23" s="67"/>
      <c r="KK23" s="67"/>
      <c r="KL23" s="67"/>
      <c r="KM23" s="67"/>
      <c r="KN23" s="67"/>
      <c r="KO23" s="67"/>
      <c r="KP23" s="67"/>
      <c r="KQ23" s="67"/>
      <c r="KR23" s="67"/>
      <c r="KS23" s="67"/>
      <c r="KT23" s="67"/>
      <c r="KU23" s="67"/>
      <c r="KV23" s="68"/>
      <c r="KW23" s="66"/>
      <c r="KX23" s="67"/>
      <c r="KY23" s="67"/>
      <c r="KZ23" s="67"/>
      <c r="LA23" s="67"/>
      <c r="LB23" s="67"/>
      <c r="LC23" s="67"/>
      <c r="LD23" s="67"/>
      <c r="LE23" s="67"/>
      <c r="LF23" s="67"/>
      <c r="LG23" s="67"/>
      <c r="LH23" s="67"/>
      <c r="LI23" s="67"/>
      <c r="LJ23" s="67"/>
      <c r="LK23" s="67"/>
      <c r="LL23" s="67"/>
      <c r="LM23" s="67"/>
      <c r="LN23" s="67"/>
      <c r="LO23" s="67"/>
      <c r="LP23" s="67"/>
      <c r="LQ23" s="67"/>
      <c r="LR23" s="67"/>
      <c r="LS23" s="67"/>
      <c r="LT23" s="67"/>
      <c r="LU23" s="67"/>
      <c r="LV23" s="67"/>
      <c r="LW23" s="67"/>
      <c r="LX23" s="67"/>
      <c r="LY23" s="67"/>
      <c r="LZ23" s="68"/>
      <c r="MA23" s="66"/>
      <c r="MB23" s="67"/>
      <c r="MC23" s="67"/>
      <c r="MD23" s="67"/>
      <c r="ME23" s="67"/>
      <c r="MF23" s="67"/>
      <c r="MG23" s="67"/>
      <c r="MH23" s="67"/>
      <c r="MI23" s="67"/>
      <c r="MJ23" s="67"/>
      <c r="MK23" s="67"/>
      <c r="ML23" s="67"/>
      <c r="MM23" s="67"/>
      <c r="MN23" s="67"/>
      <c r="MO23" s="67"/>
      <c r="MP23" s="67"/>
      <c r="MQ23" s="67"/>
      <c r="MR23" s="67"/>
      <c r="MS23" s="67"/>
      <c r="MT23" s="67"/>
      <c r="MU23" s="67"/>
      <c r="MV23" s="67"/>
      <c r="MW23" s="67"/>
      <c r="MX23" s="67"/>
      <c r="MY23" s="67"/>
      <c r="MZ23" s="67"/>
      <c r="NA23" s="67"/>
      <c r="NB23" s="67"/>
      <c r="NC23" s="67"/>
      <c r="ND23" s="67"/>
      <c r="NE23" s="68"/>
    </row>
    <row r="24" spans="1:369" x14ac:dyDescent="0.25">
      <c r="A24" s="57"/>
      <c r="B24" s="64"/>
      <c r="C24" s="65"/>
      <c r="D24" s="65"/>
      <c r="E24" s="66"/>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8"/>
      <c r="AJ24" s="66"/>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8"/>
      <c r="BL24" s="66"/>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8"/>
      <c r="CQ24" s="66"/>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c r="DR24" s="67"/>
      <c r="DS24" s="67"/>
      <c r="DT24" s="68"/>
      <c r="DU24" s="66"/>
      <c r="DV24" s="67"/>
      <c r="DW24" s="67"/>
      <c r="DX24" s="67"/>
      <c r="DY24" s="67"/>
      <c r="DZ24" s="67"/>
      <c r="EA24" s="67"/>
      <c r="EB24" s="67"/>
      <c r="EC24" s="67"/>
      <c r="ED24" s="67"/>
      <c r="EE24" s="67"/>
      <c r="EF24" s="67"/>
      <c r="EG24" s="67"/>
      <c r="EH24" s="67"/>
      <c r="EI24" s="67"/>
      <c r="EJ24" s="67"/>
      <c r="EK24" s="67"/>
      <c r="EL24" s="67"/>
      <c r="EM24" s="67"/>
      <c r="EN24" s="67"/>
      <c r="EO24" s="67"/>
      <c r="EP24" s="67"/>
      <c r="EQ24" s="67"/>
      <c r="ER24" s="67"/>
      <c r="ES24" s="67"/>
      <c r="ET24" s="67"/>
      <c r="EU24" s="67"/>
      <c r="EV24" s="67"/>
      <c r="EW24" s="67"/>
      <c r="EX24" s="67"/>
      <c r="EY24" s="68"/>
      <c r="EZ24" s="66"/>
      <c r="FA24" s="67"/>
      <c r="FB24" s="67"/>
      <c r="FC24" s="67"/>
      <c r="FD24" s="67"/>
      <c r="FE24" s="67"/>
      <c r="FF24" s="67"/>
      <c r="FG24" s="67"/>
      <c r="FH24" s="67"/>
      <c r="FI24" s="67"/>
      <c r="FJ24" s="67"/>
      <c r="FK24" s="67"/>
      <c r="FL24" s="67"/>
      <c r="FM24" s="67"/>
      <c r="FN24" s="67"/>
      <c r="FO24" s="67"/>
      <c r="FP24" s="67"/>
      <c r="FQ24" s="67"/>
      <c r="FR24" s="67"/>
      <c r="FS24" s="67"/>
      <c r="FT24" s="67"/>
      <c r="FU24" s="67"/>
      <c r="FV24" s="67"/>
      <c r="FW24" s="67"/>
      <c r="FX24" s="67"/>
      <c r="FY24" s="67"/>
      <c r="FZ24" s="67"/>
      <c r="GA24" s="67"/>
      <c r="GB24" s="67"/>
      <c r="GC24" s="68"/>
      <c r="GD24" s="66"/>
      <c r="GE24" s="67"/>
      <c r="GF24" s="67"/>
      <c r="GG24" s="67"/>
      <c r="GH24" s="67"/>
      <c r="GI24" s="67"/>
      <c r="GJ24" s="67"/>
      <c r="GK24" s="67"/>
      <c r="GL24" s="67"/>
      <c r="GM24" s="67"/>
      <c r="GN24" s="67"/>
      <c r="GO24" s="67"/>
      <c r="GP24" s="67"/>
      <c r="GQ24" s="67"/>
      <c r="GR24" s="67"/>
      <c r="GS24" s="67"/>
      <c r="GT24" s="67"/>
      <c r="GU24" s="67"/>
      <c r="GV24" s="67"/>
      <c r="GW24" s="67"/>
      <c r="GX24" s="67"/>
      <c r="GY24" s="67"/>
      <c r="GZ24" s="67"/>
      <c r="HA24" s="67"/>
      <c r="HB24" s="67"/>
      <c r="HC24" s="67"/>
      <c r="HD24" s="67"/>
      <c r="HE24" s="67"/>
      <c r="HF24" s="67"/>
      <c r="HG24" s="67"/>
      <c r="HH24" s="68"/>
      <c r="HI24" s="66"/>
      <c r="HJ24" s="67"/>
      <c r="HK24" s="67"/>
      <c r="HL24" s="67"/>
      <c r="HM24" s="67"/>
      <c r="HN24" s="67"/>
      <c r="HO24" s="67"/>
      <c r="HP24" s="67"/>
      <c r="HQ24" s="67"/>
      <c r="HR24" s="67"/>
      <c r="HS24" s="67"/>
      <c r="HT24" s="67"/>
      <c r="HU24" s="67"/>
      <c r="HV24" s="67"/>
      <c r="HW24" s="67"/>
      <c r="HX24" s="67"/>
      <c r="HY24" s="67"/>
      <c r="HZ24" s="67"/>
      <c r="IA24" s="67"/>
      <c r="IB24" s="67"/>
      <c r="IC24" s="67"/>
      <c r="ID24" s="67"/>
      <c r="IE24" s="67"/>
      <c r="IF24" s="67"/>
      <c r="IG24" s="67"/>
      <c r="IH24" s="67"/>
      <c r="II24" s="67"/>
      <c r="IJ24" s="67"/>
      <c r="IK24" s="67"/>
      <c r="IL24" s="67"/>
      <c r="IM24" s="68"/>
      <c r="IN24" s="66"/>
      <c r="IO24" s="67"/>
      <c r="IP24" s="67"/>
      <c r="IQ24" s="67"/>
      <c r="IR24" s="67"/>
      <c r="IS24" s="67"/>
      <c r="IT24" s="67"/>
      <c r="IU24" s="67"/>
      <c r="IV24" s="67"/>
      <c r="IW24" s="67"/>
      <c r="IX24" s="67"/>
      <c r="IY24" s="67"/>
      <c r="IZ24" s="67"/>
      <c r="JA24" s="67"/>
      <c r="JB24" s="67"/>
      <c r="JC24" s="67"/>
      <c r="JD24" s="67"/>
      <c r="JE24" s="67"/>
      <c r="JF24" s="67"/>
      <c r="JG24" s="67"/>
      <c r="JH24" s="67"/>
      <c r="JI24" s="67"/>
      <c r="JJ24" s="67"/>
      <c r="JK24" s="67"/>
      <c r="JL24" s="67"/>
      <c r="JM24" s="67"/>
      <c r="JN24" s="67"/>
      <c r="JO24" s="67"/>
      <c r="JP24" s="67"/>
      <c r="JQ24" s="68"/>
      <c r="JR24" s="66"/>
      <c r="JS24" s="67"/>
      <c r="JT24" s="67"/>
      <c r="JU24" s="67"/>
      <c r="JV24" s="67"/>
      <c r="JW24" s="67"/>
      <c r="JX24" s="67"/>
      <c r="JY24" s="67"/>
      <c r="JZ24" s="67"/>
      <c r="KA24" s="67"/>
      <c r="KB24" s="67"/>
      <c r="KC24" s="67"/>
      <c r="KD24" s="67"/>
      <c r="KE24" s="67"/>
      <c r="KF24" s="67"/>
      <c r="KG24" s="67"/>
      <c r="KH24" s="67"/>
      <c r="KI24" s="67"/>
      <c r="KJ24" s="67"/>
      <c r="KK24" s="67"/>
      <c r="KL24" s="67"/>
      <c r="KM24" s="67"/>
      <c r="KN24" s="67"/>
      <c r="KO24" s="67"/>
      <c r="KP24" s="67"/>
      <c r="KQ24" s="67"/>
      <c r="KR24" s="67"/>
      <c r="KS24" s="67"/>
      <c r="KT24" s="67"/>
      <c r="KU24" s="67"/>
      <c r="KV24" s="68"/>
      <c r="KW24" s="66"/>
      <c r="KX24" s="67"/>
      <c r="KY24" s="67"/>
      <c r="KZ24" s="67"/>
      <c r="LA24" s="67"/>
      <c r="LB24" s="67"/>
      <c r="LC24" s="67"/>
      <c r="LD24" s="67"/>
      <c r="LE24" s="67"/>
      <c r="LF24" s="67"/>
      <c r="LG24" s="67"/>
      <c r="LH24" s="67"/>
      <c r="LI24" s="67"/>
      <c r="LJ24" s="67"/>
      <c r="LK24" s="67"/>
      <c r="LL24" s="67"/>
      <c r="LM24" s="67"/>
      <c r="LN24" s="67"/>
      <c r="LO24" s="67"/>
      <c r="LP24" s="67"/>
      <c r="LQ24" s="67"/>
      <c r="LR24" s="67"/>
      <c r="LS24" s="67"/>
      <c r="LT24" s="67"/>
      <c r="LU24" s="67"/>
      <c r="LV24" s="67"/>
      <c r="LW24" s="67"/>
      <c r="LX24" s="67"/>
      <c r="LY24" s="67"/>
      <c r="LZ24" s="68"/>
      <c r="MA24" s="66"/>
      <c r="MB24" s="67"/>
      <c r="MC24" s="67"/>
      <c r="MD24" s="67"/>
      <c r="ME24" s="67"/>
      <c r="MF24" s="67"/>
      <c r="MG24" s="67"/>
      <c r="MH24" s="67"/>
      <c r="MI24" s="67"/>
      <c r="MJ24" s="67"/>
      <c r="MK24" s="67"/>
      <c r="ML24" s="67"/>
      <c r="MM24" s="67"/>
      <c r="MN24" s="67"/>
      <c r="MO24" s="67"/>
      <c r="MP24" s="67"/>
      <c r="MQ24" s="67"/>
      <c r="MR24" s="67"/>
      <c r="MS24" s="67"/>
      <c r="MT24" s="67"/>
      <c r="MU24" s="67"/>
      <c r="MV24" s="67"/>
      <c r="MW24" s="67"/>
      <c r="MX24" s="67"/>
      <c r="MY24" s="67"/>
      <c r="MZ24" s="67"/>
      <c r="NA24" s="67"/>
      <c r="NB24" s="67"/>
      <c r="NC24" s="67"/>
      <c r="ND24" s="67"/>
      <c r="NE24" s="68"/>
    </row>
    <row r="25" spans="1:369" x14ac:dyDescent="0.25">
      <c r="A25" s="63"/>
      <c r="B25" s="64"/>
      <c r="C25" s="65"/>
      <c r="D25" s="65"/>
      <c r="E25" s="66"/>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8"/>
      <c r="AJ25" s="66"/>
      <c r="AK25" s="67"/>
      <c r="AL25" s="67"/>
      <c r="AM25" s="67"/>
      <c r="AN25" s="67"/>
      <c r="AO25" s="67"/>
      <c r="AP25" s="67"/>
      <c r="AQ25" s="67"/>
      <c r="AR25" s="67"/>
      <c r="AS25" s="67"/>
      <c r="AT25" s="67"/>
      <c r="AU25" s="67"/>
      <c r="AV25" s="67"/>
      <c r="AW25" s="67"/>
      <c r="AX25" s="67"/>
      <c r="AY25" s="67"/>
      <c r="AZ25" s="67"/>
      <c r="BA25" s="67"/>
      <c r="BB25" s="67"/>
      <c r="BC25" s="67"/>
      <c r="BD25" s="67"/>
      <c r="BE25" s="67"/>
      <c r="BF25" s="67"/>
      <c r="BG25" s="67"/>
      <c r="BH25" s="67"/>
      <c r="BI25" s="67"/>
      <c r="BJ25" s="67"/>
      <c r="BK25" s="68"/>
      <c r="BL25" s="66"/>
      <c r="BM25" s="67"/>
      <c r="BN25" s="67"/>
      <c r="BO25" s="67"/>
      <c r="BP25" s="67"/>
      <c r="BQ25" s="67"/>
      <c r="BR25" s="67"/>
      <c r="BS25" s="67"/>
      <c r="BT25" s="67"/>
      <c r="BU25" s="67"/>
      <c r="BV25" s="67"/>
      <c r="BW25" s="67"/>
      <c r="BX25" s="67"/>
      <c r="BY25" s="67"/>
      <c r="BZ25" s="67"/>
      <c r="CA25" s="67"/>
      <c r="CB25" s="67"/>
      <c r="CC25" s="67"/>
      <c r="CD25" s="67"/>
      <c r="CE25" s="67"/>
      <c r="CF25" s="67"/>
      <c r="CG25" s="67"/>
      <c r="CH25" s="67"/>
      <c r="CI25" s="67"/>
      <c r="CJ25" s="67"/>
      <c r="CK25" s="67"/>
      <c r="CL25" s="67"/>
      <c r="CM25" s="67"/>
      <c r="CN25" s="67"/>
      <c r="CO25" s="67"/>
      <c r="CP25" s="68"/>
      <c r="CQ25" s="66"/>
      <c r="CR25" s="67"/>
      <c r="CS25" s="67"/>
      <c r="CT25" s="67"/>
      <c r="CU25" s="67"/>
      <c r="CV25" s="67"/>
      <c r="CW25" s="67"/>
      <c r="CX25" s="67"/>
      <c r="CY25" s="67"/>
      <c r="CZ25" s="67"/>
      <c r="DA25" s="67"/>
      <c r="DB25" s="67"/>
      <c r="DC25" s="67"/>
      <c r="DD25" s="67"/>
      <c r="DE25" s="67"/>
      <c r="DF25" s="67"/>
      <c r="DG25" s="67"/>
      <c r="DH25" s="67"/>
      <c r="DI25" s="67"/>
      <c r="DJ25" s="67"/>
      <c r="DK25" s="67"/>
      <c r="DL25" s="67"/>
      <c r="DM25" s="67"/>
      <c r="DN25" s="67"/>
      <c r="DO25" s="67"/>
      <c r="DP25" s="67"/>
      <c r="DQ25" s="67"/>
      <c r="DR25" s="67"/>
      <c r="DS25" s="67"/>
      <c r="DT25" s="68"/>
      <c r="DU25" s="66"/>
      <c r="DV25" s="67"/>
      <c r="DW25" s="67"/>
      <c r="DX25" s="67"/>
      <c r="DY25" s="67"/>
      <c r="DZ25" s="67"/>
      <c r="EA25" s="67"/>
      <c r="EB25" s="67"/>
      <c r="EC25" s="67"/>
      <c r="ED25" s="67"/>
      <c r="EE25" s="67"/>
      <c r="EF25" s="67"/>
      <c r="EG25" s="67"/>
      <c r="EH25" s="67"/>
      <c r="EI25" s="67"/>
      <c r="EJ25" s="67"/>
      <c r="EK25" s="67"/>
      <c r="EL25" s="67"/>
      <c r="EM25" s="67"/>
      <c r="EN25" s="67"/>
      <c r="EO25" s="67"/>
      <c r="EP25" s="67"/>
      <c r="EQ25" s="67"/>
      <c r="ER25" s="67"/>
      <c r="ES25" s="67"/>
      <c r="ET25" s="67"/>
      <c r="EU25" s="67"/>
      <c r="EV25" s="67"/>
      <c r="EW25" s="67"/>
      <c r="EX25" s="67"/>
      <c r="EY25" s="68"/>
      <c r="EZ25" s="66"/>
      <c r="FA25" s="67"/>
      <c r="FB25" s="67"/>
      <c r="FC25" s="67"/>
      <c r="FD25" s="67"/>
      <c r="FE25" s="67"/>
      <c r="FF25" s="67"/>
      <c r="FG25" s="67"/>
      <c r="FH25" s="67"/>
      <c r="FI25" s="67"/>
      <c r="FJ25" s="67"/>
      <c r="FK25" s="67"/>
      <c r="FL25" s="67"/>
      <c r="FM25" s="67"/>
      <c r="FN25" s="67"/>
      <c r="FO25" s="67"/>
      <c r="FP25" s="67"/>
      <c r="FQ25" s="67"/>
      <c r="FR25" s="67"/>
      <c r="FS25" s="67"/>
      <c r="FT25" s="67"/>
      <c r="FU25" s="67"/>
      <c r="FV25" s="67"/>
      <c r="FW25" s="67"/>
      <c r="FX25" s="67"/>
      <c r="FY25" s="67"/>
      <c r="FZ25" s="67"/>
      <c r="GA25" s="67"/>
      <c r="GB25" s="67"/>
      <c r="GC25" s="68"/>
      <c r="GD25" s="66"/>
      <c r="GE25" s="67"/>
      <c r="GF25" s="67"/>
      <c r="GG25" s="67"/>
      <c r="GH25" s="67"/>
      <c r="GI25" s="67"/>
      <c r="GJ25" s="67"/>
      <c r="GK25" s="67"/>
      <c r="GL25" s="67"/>
      <c r="GM25" s="67"/>
      <c r="GN25" s="67"/>
      <c r="GO25" s="67"/>
      <c r="GP25" s="67"/>
      <c r="GQ25" s="67"/>
      <c r="GR25" s="67"/>
      <c r="GS25" s="67"/>
      <c r="GT25" s="67"/>
      <c r="GU25" s="67"/>
      <c r="GV25" s="67"/>
      <c r="GW25" s="67"/>
      <c r="GX25" s="67"/>
      <c r="GY25" s="67"/>
      <c r="GZ25" s="67"/>
      <c r="HA25" s="67"/>
      <c r="HB25" s="67"/>
      <c r="HC25" s="67"/>
      <c r="HD25" s="67"/>
      <c r="HE25" s="67"/>
      <c r="HF25" s="67"/>
      <c r="HG25" s="67"/>
      <c r="HH25" s="68"/>
      <c r="HI25" s="66"/>
      <c r="HJ25" s="67"/>
      <c r="HK25" s="67"/>
      <c r="HL25" s="67"/>
      <c r="HM25" s="67"/>
      <c r="HN25" s="67"/>
      <c r="HO25" s="67"/>
      <c r="HP25" s="67"/>
      <c r="HQ25" s="67"/>
      <c r="HR25" s="67"/>
      <c r="HS25" s="67"/>
      <c r="HT25" s="67"/>
      <c r="HU25" s="67"/>
      <c r="HV25" s="67"/>
      <c r="HW25" s="67"/>
      <c r="HX25" s="67"/>
      <c r="HY25" s="67"/>
      <c r="HZ25" s="67"/>
      <c r="IA25" s="67"/>
      <c r="IB25" s="67"/>
      <c r="IC25" s="67"/>
      <c r="ID25" s="67"/>
      <c r="IE25" s="67"/>
      <c r="IF25" s="67"/>
      <c r="IG25" s="67"/>
      <c r="IH25" s="67"/>
      <c r="II25" s="67"/>
      <c r="IJ25" s="67"/>
      <c r="IK25" s="67"/>
      <c r="IL25" s="67"/>
      <c r="IM25" s="68"/>
      <c r="IN25" s="66"/>
      <c r="IO25" s="67"/>
      <c r="IP25" s="67"/>
      <c r="IQ25" s="67"/>
      <c r="IR25" s="67"/>
      <c r="IS25" s="67"/>
      <c r="IT25" s="67"/>
      <c r="IU25" s="67"/>
      <c r="IV25" s="67"/>
      <c r="IW25" s="67"/>
      <c r="IX25" s="67"/>
      <c r="IY25" s="67"/>
      <c r="IZ25" s="67"/>
      <c r="JA25" s="67"/>
      <c r="JB25" s="67"/>
      <c r="JC25" s="67"/>
      <c r="JD25" s="67"/>
      <c r="JE25" s="67"/>
      <c r="JF25" s="67"/>
      <c r="JG25" s="67"/>
      <c r="JH25" s="67"/>
      <c r="JI25" s="67"/>
      <c r="JJ25" s="67"/>
      <c r="JK25" s="67"/>
      <c r="JL25" s="67"/>
      <c r="JM25" s="67"/>
      <c r="JN25" s="67"/>
      <c r="JO25" s="67"/>
      <c r="JP25" s="67"/>
      <c r="JQ25" s="68"/>
      <c r="JR25" s="66"/>
      <c r="JS25" s="67"/>
      <c r="JT25" s="67"/>
      <c r="JU25" s="67"/>
      <c r="JV25" s="67"/>
      <c r="JW25" s="67"/>
      <c r="JX25" s="67"/>
      <c r="JY25" s="67"/>
      <c r="JZ25" s="67"/>
      <c r="KA25" s="67"/>
      <c r="KB25" s="67"/>
      <c r="KC25" s="67"/>
      <c r="KD25" s="67"/>
      <c r="KE25" s="67"/>
      <c r="KF25" s="67"/>
      <c r="KG25" s="67"/>
      <c r="KH25" s="67"/>
      <c r="KI25" s="67"/>
      <c r="KJ25" s="67"/>
      <c r="KK25" s="67"/>
      <c r="KL25" s="67"/>
      <c r="KM25" s="67"/>
      <c r="KN25" s="67"/>
      <c r="KO25" s="67"/>
      <c r="KP25" s="67"/>
      <c r="KQ25" s="67"/>
      <c r="KR25" s="67"/>
      <c r="KS25" s="67"/>
      <c r="KT25" s="67"/>
      <c r="KU25" s="67"/>
      <c r="KV25" s="68"/>
      <c r="KW25" s="66"/>
      <c r="KX25" s="67"/>
      <c r="KY25" s="67"/>
      <c r="KZ25" s="67"/>
      <c r="LA25" s="67"/>
      <c r="LB25" s="67"/>
      <c r="LC25" s="67"/>
      <c r="LD25" s="67"/>
      <c r="LE25" s="67"/>
      <c r="LF25" s="67"/>
      <c r="LG25" s="67"/>
      <c r="LH25" s="67"/>
      <c r="LI25" s="67"/>
      <c r="LJ25" s="67"/>
      <c r="LK25" s="67"/>
      <c r="LL25" s="67"/>
      <c r="LM25" s="67"/>
      <c r="LN25" s="67"/>
      <c r="LO25" s="67"/>
      <c r="LP25" s="67"/>
      <c r="LQ25" s="67"/>
      <c r="LR25" s="67"/>
      <c r="LS25" s="67"/>
      <c r="LT25" s="67"/>
      <c r="LU25" s="67"/>
      <c r="LV25" s="67"/>
      <c r="LW25" s="67"/>
      <c r="LX25" s="67"/>
      <c r="LY25" s="67"/>
      <c r="LZ25" s="68"/>
      <c r="MA25" s="66"/>
      <c r="MB25" s="67"/>
      <c r="MC25" s="67"/>
      <c r="MD25" s="67"/>
      <c r="ME25" s="67"/>
      <c r="MF25" s="67"/>
      <c r="MG25" s="67"/>
      <c r="MH25" s="67"/>
      <c r="MI25" s="67"/>
      <c r="MJ25" s="67"/>
      <c r="MK25" s="67"/>
      <c r="ML25" s="67"/>
      <c r="MM25" s="67"/>
      <c r="MN25" s="67"/>
      <c r="MO25" s="67"/>
      <c r="MP25" s="67"/>
      <c r="MQ25" s="67"/>
      <c r="MR25" s="67"/>
      <c r="MS25" s="67"/>
      <c r="MT25" s="67"/>
      <c r="MU25" s="67"/>
      <c r="MV25" s="67"/>
      <c r="MW25" s="67"/>
      <c r="MX25" s="67"/>
      <c r="MY25" s="67"/>
      <c r="MZ25" s="67"/>
      <c r="NA25" s="67"/>
      <c r="NB25" s="67"/>
      <c r="NC25" s="67"/>
      <c r="ND25" s="67"/>
      <c r="NE25" s="68"/>
    </row>
    <row r="26" spans="1:369" x14ac:dyDescent="0.25">
      <c r="A26" s="57"/>
      <c r="B26" s="64"/>
      <c r="C26" s="65"/>
      <c r="D26" s="65"/>
      <c r="E26" s="66"/>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8"/>
      <c r="AJ26" s="66"/>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8"/>
      <c r="BL26" s="66"/>
      <c r="BM26" s="67"/>
      <c r="BN26" s="67"/>
      <c r="BO26" s="67"/>
      <c r="BP26" s="67"/>
      <c r="BQ26" s="67"/>
      <c r="BR26" s="67"/>
      <c r="BS26" s="67"/>
      <c r="BT26" s="67"/>
      <c r="BU26" s="67"/>
      <c r="BV26" s="67"/>
      <c r="BW26" s="67"/>
      <c r="BX26" s="67"/>
      <c r="BY26" s="67"/>
      <c r="BZ26" s="67"/>
      <c r="CA26" s="67"/>
      <c r="CB26" s="67"/>
      <c r="CC26" s="67"/>
      <c r="CD26" s="67"/>
      <c r="CE26" s="67"/>
      <c r="CF26" s="67"/>
      <c r="CG26" s="67"/>
      <c r="CH26" s="67"/>
      <c r="CI26" s="67"/>
      <c r="CJ26" s="67"/>
      <c r="CK26" s="67"/>
      <c r="CL26" s="67"/>
      <c r="CM26" s="67"/>
      <c r="CN26" s="67"/>
      <c r="CO26" s="67"/>
      <c r="CP26" s="68"/>
      <c r="CQ26" s="66"/>
      <c r="CR26" s="67"/>
      <c r="CS26" s="67"/>
      <c r="CT26" s="67"/>
      <c r="CU26" s="67"/>
      <c r="CV26" s="67"/>
      <c r="CW26" s="67"/>
      <c r="CX26" s="67"/>
      <c r="CY26" s="67"/>
      <c r="CZ26" s="67"/>
      <c r="DA26" s="67"/>
      <c r="DB26" s="67"/>
      <c r="DC26" s="67"/>
      <c r="DD26" s="67"/>
      <c r="DE26" s="67"/>
      <c r="DF26" s="67"/>
      <c r="DG26" s="67"/>
      <c r="DH26" s="67"/>
      <c r="DI26" s="67"/>
      <c r="DJ26" s="67"/>
      <c r="DK26" s="67"/>
      <c r="DL26" s="67"/>
      <c r="DM26" s="67"/>
      <c r="DN26" s="67"/>
      <c r="DO26" s="67"/>
      <c r="DP26" s="67"/>
      <c r="DQ26" s="67"/>
      <c r="DR26" s="67"/>
      <c r="DS26" s="67"/>
      <c r="DT26" s="68"/>
      <c r="DU26" s="66"/>
      <c r="DV26" s="67"/>
      <c r="DW26" s="67"/>
      <c r="DX26" s="67"/>
      <c r="DY26" s="67"/>
      <c r="DZ26" s="67"/>
      <c r="EA26" s="67"/>
      <c r="EB26" s="67"/>
      <c r="EC26" s="67"/>
      <c r="ED26" s="67"/>
      <c r="EE26" s="67"/>
      <c r="EF26" s="67"/>
      <c r="EG26" s="67"/>
      <c r="EH26" s="67"/>
      <c r="EI26" s="67"/>
      <c r="EJ26" s="67"/>
      <c r="EK26" s="67"/>
      <c r="EL26" s="67"/>
      <c r="EM26" s="67"/>
      <c r="EN26" s="67"/>
      <c r="EO26" s="67"/>
      <c r="EP26" s="67"/>
      <c r="EQ26" s="67"/>
      <c r="ER26" s="67"/>
      <c r="ES26" s="67"/>
      <c r="ET26" s="67"/>
      <c r="EU26" s="67"/>
      <c r="EV26" s="67"/>
      <c r="EW26" s="67"/>
      <c r="EX26" s="67"/>
      <c r="EY26" s="68"/>
      <c r="EZ26" s="66"/>
      <c r="FA26" s="67"/>
      <c r="FB26" s="67"/>
      <c r="FC26" s="67"/>
      <c r="FD26" s="67"/>
      <c r="FE26" s="67"/>
      <c r="FF26" s="67"/>
      <c r="FG26" s="67"/>
      <c r="FH26" s="67"/>
      <c r="FI26" s="67"/>
      <c r="FJ26" s="67"/>
      <c r="FK26" s="67"/>
      <c r="FL26" s="67"/>
      <c r="FM26" s="67"/>
      <c r="FN26" s="67"/>
      <c r="FO26" s="67"/>
      <c r="FP26" s="67"/>
      <c r="FQ26" s="67"/>
      <c r="FR26" s="67"/>
      <c r="FS26" s="67"/>
      <c r="FT26" s="67"/>
      <c r="FU26" s="67"/>
      <c r="FV26" s="67"/>
      <c r="FW26" s="67"/>
      <c r="FX26" s="67"/>
      <c r="FY26" s="67"/>
      <c r="FZ26" s="67"/>
      <c r="GA26" s="67"/>
      <c r="GB26" s="67"/>
      <c r="GC26" s="68"/>
      <c r="GD26" s="66"/>
      <c r="GE26" s="67"/>
      <c r="GF26" s="67"/>
      <c r="GG26" s="67"/>
      <c r="GH26" s="67"/>
      <c r="GI26" s="67"/>
      <c r="GJ26" s="67"/>
      <c r="GK26" s="67"/>
      <c r="GL26" s="67"/>
      <c r="GM26" s="67"/>
      <c r="GN26" s="67"/>
      <c r="GO26" s="67"/>
      <c r="GP26" s="67"/>
      <c r="GQ26" s="67"/>
      <c r="GR26" s="67"/>
      <c r="GS26" s="67"/>
      <c r="GT26" s="67"/>
      <c r="GU26" s="67"/>
      <c r="GV26" s="67"/>
      <c r="GW26" s="67"/>
      <c r="GX26" s="67"/>
      <c r="GY26" s="67"/>
      <c r="GZ26" s="67"/>
      <c r="HA26" s="67"/>
      <c r="HB26" s="67"/>
      <c r="HC26" s="67"/>
      <c r="HD26" s="67"/>
      <c r="HE26" s="67"/>
      <c r="HF26" s="67"/>
      <c r="HG26" s="67"/>
      <c r="HH26" s="68"/>
      <c r="HI26" s="66"/>
      <c r="HJ26" s="67"/>
      <c r="HK26" s="67"/>
      <c r="HL26" s="67"/>
      <c r="HM26" s="67"/>
      <c r="HN26" s="67"/>
      <c r="HO26" s="67"/>
      <c r="HP26" s="67"/>
      <c r="HQ26" s="67"/>
      <c r="HR26" s="67"/>
      <c r="HS26" s="67"/>
      <c r="HT26" s="67"/>
      <c r="HU26" s="67"/>
      <c r="HV26" s="67"/>
      <c r="HW26" s="67"/>
      <c r="HX26" s="67"/>
      <c r="HY26" s="67"/>
      <c r="HZ26" s="67"/>
      <c r="IA26" s="67"/>
      <c r="IB26" s="67"/>
      <c r="IC26" s="67"/>
      <c r="ID26" s="67"/>
      <c r="IE26" s="67"/>
      <c r="IF26" s="67"/>
      <c r="IG26" s="67"/>
      <c r="IH26" s="67"/>
      <c r="II26" s="67"/>
      <c r="IJ26" s="67"/>
      <c r="IK26" s="67"/>
      <c r="IL26" s="67"/>
      <c r="IM26" s="68"/>
      <c r="IN26" s="66"/>
      <c r="IO26" s="67"/>
      <c r="IP26" s="67"/>
      <c r="IQ26" s="67"/>
      <c r="IR26" s="67"/>
      <c r="IS26" s="67"/>
      <c r="IT26" s="67"/>
      <c r="IU26" s="67"/>
      <c r="IV26" s="67"/>
      <c r="IW26" s="67"/>
      <c r="IX26" s="67"/>
      <c r="IY26" s="67"/>
      <c r="IZ26" s="67"/>
      <c r="JA26" s="67"/>
      <c r="JB26" s="67"/>
      <c r="JC26" s="67"/>
      <c r="JD26" s="67"/>
      <c r="JE26" s="67"/>
      <c r="JF26" s="67"/>
      <c r="JG26" s="67"/>
      <c r="JH26" s="67"/>
      <c r="JI26" s="67"/>
      <c r="JJ26" s="67"/>
      <c r="JK26" s="67"/>
      <c r="JL26" s="67"/>
      <c r="JM26" s="67"/>
      <c r="JN26" s="67"/>
      <c r="JO26" s="67"/>
      <c r="JP26" s="67"/>
      <c r="JQ26" s="68"/>
      <c r="JR26" s="66"/>
      <c r="JS26" s="67"/>
      <c r="JT26" s="67"/>
      <c r="JU26" s="67"/>
      <c r="JV26" s="67"/>
      <c r="JW26" s="67"/>
      <c r="JX26" s="67"/>
      <c r="JY26" s="67"/>
      <c r="JZ26" s="67"/>
      <c r="KA26" s="67"/>
      <c r="KB26" s="67"/>
      <c r="KC26" s="67"/>
      <c r="KD26" s="67"/>
      <c r="KE26" s="67"/>
      <c r="KF26" s="67"/>
      <c r="KG26" s="67"/>
      <c r="KH26" s="67"/>
      <c r="KI26" s="67"/>
      <c r="KJ26" s="67"/>
      <c r="KK26" s="67"/>
      <c r="KL26" s="67"/>
      <c r="KM26" s="67"/>
      <c r="KN26" s="67"/>
      <c r="KO26" s="67"/>
      <c r="KP26" s="67"/>
      <c r="KQ26" s="67"/>
      <c r="KR26" s="67"/>
      <c r="KS26" s="67"/>
      <c r="KT26" s="67"/>
      <c r="KU26" s="67"/>
      <c r="KV26" s="68"/>
      <c r="KW26" s="66"/>
      <c r="KX26" s="67"/>
      <c r="KY26" s="67"/>
      <c r="KZ26" s="67"/>
      <c r="LA26" s="67"/>
      <c r="LB26" s="67"/>
      <c r="LC26" s="67"/>
      <c r="LD26" s="67"/>
      <c r="LE26" s="67"/>
      <c r="LF26" s="67"/>
      <c r="LG26" s="67"/>
      <c r="LH26" s="67"/>
      <c r="LI26" s="67"/>
      <c r="LJ26" s="67"/>
      <c r="LK26" s="67"/>
      <c r="LL26" s="67"/>
      <c r="LM26" s="67"/>
      <c r="LN26" s="67"/>
      <c r="LO26" s="67"/>
      <c r="LP26" s="67"/>
      <c r="LQ26" s="67"/>
      <c r="LR26" s="67"/>
      <c r="LS26" s="67"/>
      <c r="LT26" s="67"/>
      <c r="LU26" s="67"/>
      <c r="LV26" s="67"/>
      <c r="LW26" s="67"/>
      <c r="LX26" s="67"/>
      <c r="LY26" s="67"/>
      <c r="LZ26" s="68"/>
      <c r="MA26" s="66"/>
      <c r="MB26" s="67"/>
      <c r="MC26" s="67"/>
      <c r="MD26" s="67"/>
      <c r="ME26" s="67"/>
      <c r="MF26" s="67"/>
      <c r="MG26" s="67"/>
      <c r="MH26" s="67"/>
      <c r="MI26" s="67"/>
      <c r="MJ26" s="67"/>
      <c r="MK26" s="67"/>
      <c r="ML26" s="67"/>
      <c r="MM26" s="67"/>
      <c r="MN26" s="67"/>
      <c r="MO26" s="67"/>
      <c r="MP26" s="67"/>
      <c r="MQ26" s="67"/>
      <c r="MR26" s="67"/>
      <c r="MS26" s="67"/>
      <c r="MT26" s="67"/>
      <c r="MU26" s="67"/>
      <c r="MV26" s="67"/>
      <c r="MW26" s="67"/>
      <c r="MX26" s="67"/>
      <c r="MY26" s="67"/>
      <c r="MZ26" s="67"/>
      <c r="NA26" s="67"/>
      <c r="NB26" s="67"/>
      <c r="NC26" s="67"/>
      <c r="ND26" s="67"/>
      <c r="NE26" s="68"/>
    </row>
    <row r="27" spans="1:369" x14ac:dyDescent="0.25">
      <c r="A27" s="63"/>
      <c r="B27" s="69"/>
      <c r="C27" s="70"/>
      <c r="D27" s="65"/>
      <c r="E27" s="71"/>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3"/>
      <c r="AJ27" s="71"/>
      <c r="AK27" s="72"/>
      <c r="AL27" s="72"/>
      <c r="AM27" s="72"/>
      <c r="AN27" s="72"/>
      <c r="AO27" s="72"/>
      <c r="AP27" s="72"/>
      <c r="AQ27" s="72"/>
      <c r="AR27" s="72"/>
      <c r="AS27" s="72"/>
      <c r="AT27" s="72"/>
      <c r="AU27" s="72"/>
      <c r="AV27" s="72"/>
      <c r="AW27" s="72"/>
      <c r="AX27" s="72"/>
      <c r="AY27" s="72"/>
      <c r="AZ27" s="72"/>
      <c r="BA27" s="72"/>
      <c r="BB27" s="72"/>
      <c r="BC27" s="72"/>
      <c r="BD27" s="72"/>
      <c r="BE27" s="72"/>
      <c r="BF27" s="72"/>
      <c r="BG27" s="72"/>
      <c r="BH27" s="72"/>
      <c r="BI27" s="72"/>
      <c r="BJ27" s="72"/>
      <c r="BK27" s="73"/>
      <c r="BL27" s="71"/>
      <c r="BM27" s="72"/>
      <c r="BN27" s="72"/>
      <c r="BO27" s="72"/>
      <c r="BP27" s="72"/>
      <c r="BQ27" s="72"/>
      <c r="BR27" s="72"/>
      <c r="BS27" s="72"/>
      <c r="BT27" s="72"/>
      <c r="BU27" s="72"/>
      <c r="BV27" s="72"/>
      <c r="BW27" s="72"/>
      <c r="BX27" s="72"/>
      <c r="BY27" s="72"/>
      <c r="BZ27" s="72"/>
      <c r="CA27" s="72"/>
      <c r="CB27" s="72"/>
      <c r="CC27" s="72"/>
      <c r="CD27" s="72"/>
      <c r="CE27" s="72"/>
      <c r="CF27" s="72"/>
      <c r="CG27" s="72"/>
      <c r="CH27" s="72"/>
      <c r="CI27" s="72"/>
      <c r="CJ27" s="72"/>
      <c r="CK27" s="72"/>
      <c r="CL27" s="72"/>
      <c r="CM27" s="72"/>
      <c r="CN27" s="72"/>
      <c r="CO27" s="72"/>
      <c r="CP27" s="73"/>
      <c r="CQ27" s="71"/>
      <c r="CR27" s="72"/>
      <c r="CS27" s="72"/>
      <c r="CT27" s="72"/>
      <c r="CU27" s="72"/>
      <c r="CV27" s="72"/>
      <c r="CW27" s="72"/>
      <c r="CX27" s="72"/>
      <c r="CY27" s="72"/>
      <c r="CZ27" s="72"/>
      <c r="DA27" s="72"/>
      <c r="DB27" s="72"/>
      <c r="DC27" s="72"/>
      <c r="DD27" s="72"/>
      <c r="DE27" s="72"/>
      <c r="DF27" s="72"/>
      <c r="DG27" s="72"/>
      <c r="DH27" s="72"/>
      <c r="DI27" s="72"/>
      <c r="DJ27" s="72"/>
      <c r="DK27" s="72"/>
      <c r="DL27" s="72"/>
      <c r="DM27" s="72"/>
      <c r="DN27" s="72"/>
      <c r="DO27" s="72"/>
      <c r="DP27" s="72"/>
      <c r="DQ27" s="72"/>
      <c r="DR27" s="72"/>
      <c r="DS27" s="72"/>
      <c r="DT27" s="73"/>
      <c r="DU27" s="71"/>
      <c r="DV27" s="72"/>
      <c r="DW27" s="72"/>
      <c r="DX27" s="72"/>
      <c r="DY27" s="72"/>
      <c r="DZ27" s="72"/>
      <c r="EA27" s="72"/>
      <c r="EB27" s="72"/>
      <c r="EC27" s="72"/>
      <c r="ED27" s="72"/>
      <c r="EE27" s="72"/>
      <c r="EF27" s="72"/>
      <c r="EG27" s="72"/>
      <c r="EH27" s="72"/>
      <c r="EI27" s="72"/>
      <c r="EJ27" s="72"/>
      <c r="EK27" s="72"/>
      <c r="EL27" s="72"/>
      <c r="EM27" s="72"/>
      <c r="EN27" s="72"/>
      <c r="EO27" s="72"/>
      <c r="EP27" s="72"/>
      <c r="EQ27" s="72"/>
      <c r="ER27" s="72"/>
      <c r="ES27" s="72"/>
      <c r="ET27" s="72"/>
      <c r="EU27" s="72"/>
      <c r="EV27" s="72"/>
      <c r="EW27" s="72"/>
      <c r="EX27" s="72"/>
      <c r="EY27" s="73"/>
      <c r="EZ27" s="71"/>
      <c r="FA27" s="72"/>
      <c r="FB27" s="72"/>
      <c r="FC27" s="72"/>
      <c r="FD27" s="72"/>
      <c r="FE27" s="72"/>
      <c r="FF27" s="72"/>
      <c r="FG27" s="72"/>
      <c r="FH27" s="72"/>
      <c r="FI27" s="72"/>
      <c r="FJ27" s="72"/>
      <c r="FK27" s="72"/>
      <c r="FL27" s="72"/>
      <c r="FM27" s="72"/>
      <c r="FN27" s="72"/>
      <c r="FO27" s="72"/>
      <c r="FP27" s="72"/>
      <c r="FQ27" s="72"/>
      <c r="FR27" s="72"/>
      <c r="FS27" s="72"/>
      <c r="FT27" s="72"/>
      <c r="FU27" s="72"/>
      <c r="FV27" s="72"/>
      <c r="FW27" s="72"/>
      <c r="FX27" s="72"/>
      <c r="FY27" s="72"/>
      <c r="FZ27" s="72"/>
      <c r="GA27" s="72"/>
      <c r="GB27" s="72"/>
      <c r="GC27" s="73"/>
      <c r="GD27" s="71"/>
      <c r="GE27" s="72"/>
      <c r="GF27" s="72"/>
      <c r="GG27" s="72"/>
      <c r="GH27" s="72"/>
      <c r="GI27" s="72"/>
      <c r="GJ27" s="72"/>
      <c r="GK27" s="72"/>
      <c r="GL27" s="72"/>
      <c r="GM27" s="72"/>
      <c r="GN27" s="72"/>
      <c r="GO27" s="72"/>
      <c r="GP27" s="72"/>
      <c r="GQ27" s="72"/>
      <c r="GR27" s="72"/>
      <c r="GS27" s="72"/>
      <c r="GT27" s="72"/>
      <c r="GU27" s="72"/>
      <c r="GV27" s="72"/>
      <c r="GW27" s="72"/>
      <c r="GX27" s="72"/>
      <c r="GY27" s="72"/>
      <c r="GZ27" s="72"/>
      <c r="HA27" s="72"/>
      <c r="HB27" s="72"/>
      <c r="HC27" s="72"/>
      <c r="HD27" s="72"/>
      <c r="HE27" s="72"/>
      <c r="HF27" s="72"/>
      <c r="HG27" s="72"/>
      <c r="HH27" s="73"/>
      <c r="HI27" s="71"/>
      <c r="HJ27" s="72"/>
      <c r="HK27" s="72"/>
      <c r="HL27" s="72"/>
      <c r="HM27" s="72"/>
      <c r="HN27" s="72"/>
      <c r="HO27" s="72"/>
      <c r="HP27" s="72"/>
      <c r="HQ27" s="72"/>
      <c r="HR27" s="72"/>
      <c r="HS27" s="72"/>
      <c r="HT27" s="72"/>
      <c r="HU27" s="72"/>
      <c r="HV27" s="72"/>
      <c r="HW27" s="72"/>
      <c r="HX27" s="72"/>
      <c r="HY27" s="72"/>
      <c r="HZ27" s="72"/>
      <c r="IA27" s="72"/>
      <c r="IB27" s="72"/>
      <c r="IC27" s="72"/>
      <c r="ID27" s="72"/>
      <c r="IE27" s="72"/>
      <c r="IF27" s="72"/>
      <c r="IG27" s="72"/>
      <c r="IH27" s="72"/>
      <c r="II27" s="72"/>
      <c r="IJ27" s="72"/>
      <c r="IK27" s="72"/>
      <c r="IL27" s="72"/>
      <c r="IM27" s="73"/>
      <c r="IN27" s="71"/>
      <c r="IO27" s="72"/>
      <c r="IP27" s="72"/>
      <c r="IQ27" s="72"/>
      <c r="IR27" s="72"/>
      <c r="IS27" s="72"/>
      <c r="IT27" s="72"/>
      <c r="IU27" s="72"/>
      <c r="IV27" s="72"/>
      <c r="IW27" s="72"/>
      <c r="IX27" s="72"/>
      <c r="IY27" s="72"/>
      <c r="IZ27" s="72"/>
      <c r="JA27" s="72"/>
      <c r="JB27" s="72"/>
      <c r="JC27" s="72"/>
      <c r="JD27" s="72"/>
      <c r="JE27" s="72"/>
      <c r="JF27" s="72"/>
      <c r="JG27" s="72"/>
      <c r="JH27" s="72"/>
      <c r="JI27" s="72"/>
      <c r="JJ27" s="72"/>
      <c r="JK27" s="72"/>
      <c r="JL27" s="72"/>
      <c r="JM27" s="72"/>
      <c r="JN27" s="72"/>
      <c r="JO27" s="72"/>
      <c r="JP27" s="72"/>
      <c r="JQ27" s="73"/>
      <c r="JR27" s="71"/>
      <c r="JS27" s="72"/>
      <c r="JT27" s="72"/>
      <c r="JU27" s="72"/>
      <c r="JV27" s="72"/>
      <c r="JW27" s="72"/>
      <c r="JX27" s="72"/>
      <c r="JY27" s="72"/>
      <c r="JZ27" s="72"/>
      <c r="KA27" s="72"/>
      <c r="KB27" s="72"/>
      <c r="KC27" s="72"/>
      <c r="KD27" s="72"/>
      <c r="KE27" s="72"/>
      <c r="KF27" s="72"/>
      <c r="KG27" s="72"/>
      <c r="KH27" s="72"/>
      <c r="KI27" s="72"/>
      <c r="KJ27" s="72"/>
      <c r="KK27" s="72"/>
      <c r="KL27" s="72"/>
      <c r="KM27" s="72"/>
      <c r="KN27" s="72"/>
      <c r="KO27" s="72"/>
      <c r="KP27" s="72"/>
      <c r="KQ27" s="72"/>
      <c r="KR27" s="72"/>
      <c r="KS27" s="72"/>
      <c r="KT27" s="72"/>
      <c r="KU27" s="72"/>
      <c r="KV27" s="73"/>
      <c r="KW27" s="71"/>
      <c r="KX27" s="72"/>
      <c r="KY27" s="72"/>
      <c r="KZ27" s="72"/>
      <c r="LA27" s="72"/>
      <c r="LB27" s="72"/>
      <c r="LC27" s="72"/>
      <c r="LD27" s="72"/>
      <c r="LE27" s="72"/>
      <c r="LF27" s="72"/>
      <c r="LG27" s="72"/>
      <c r="LH27" s="72"/>
      <c r="LI27" s="72"/>
      <c r="LJ27" s="72"/>
      <c r="LK27" s="72"/>
      <c r="LL27" s="72"/>
      <c r="LM27" s="72"/>
      <c r="LN27" s="72"/>
      <c r="LO27" s="72"/>
      <c r="LP27" s="72"/>
      <c r="LQ27" s="72"/>
      <c r="LR27" s="72"/>
      <c r="LS27" s="72"/>
      <c r="LT27" s="72"/>
      <c r="LU27" s="72"/>
      <c r="LV27" s="72"/>
      <c r="LW27" s="72"/>
      <c r="LX27" s="72"/>
      <c r="LY27" s="72"/>
      <c r="LZ27" s="73"/>
      <c r="MA27" s="71"/>
      <c r="MB27" s="72"/>
      <c r="MC27" s="72"/>
      <c r="MD27" s="72"/>
      <c r="ME27" s="72"/>
      <c r="MF27" s="72"/>
      <c r="MG27" s="72"/>
      <c r="MH27" s="72"/>
      <c r="MI27" s="72"/>
      <c r="MJ27" s="72"/>
      <c r="MK27" s="72"/>
      <c r="ML27" s="72"/>
      <c r="MM27" s="72"/>
      <c r="MN27" s="72"/>
      <c r="MO27" s="72"/>
      <c r="MP27" s="72"/>
      <c r="MQ27" s="72"/>
      <c r="MR27" s="72"/>
      <c r="MS27" s="72"/>
      <c r="MT27" s="72"/>
      <c r="MU27" s="72"/>
      <c r="MV27" s="72"/>
      <c r="MW27" s="72"/>
      <c r="MX27" s="72"/>
      <c r="MY27" s="72"/>
      <c r="MZ27" s="72"/>
      <c r="NA27" s="72"/>
      <c r="NB27" s="72"/>
      <c r="NC27" s="72"/>
      <c r="ND27" s="72"/>
      <c r="NE27" s="73"/>
    </row>
    <row r="28" spans="1:369" ht="15.75" thickBot="1" x14ac:dyDescent="0.3">
      <c r="A28" s="57"/>
      <c r="B28" s="74"/>
      <c r="C28" s="75"/>
      <c r="D28" s="75"/>
      <c r="E28" s="76"/>
      <c r="F28" s="77"/>
      <c r="G28" s="77"/>
      <c r="H28" s="77"/>
      <c r="I28" s="77"/>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8"/>
      <c r="AJ28" s="76"/>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8"/>
      <c r="BL28" s="76"/>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8"/>
      <c r="CQ28" s="76"/>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8"/>
      <c r="DU28" s="76"/>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8"/>
      <c r="EZ28" s="76"/>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8"/>
      <c r="GD28" s="76"/>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8"/>
      <c r="HI28" s="76"/>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8"/>
      <c r="IN28" s="76"/>
      <c r="IO28" s="77"/>
      <c r="IP28" s="77"/>
      <c r="IQ28" s="77"/>
      <c r="IR28" s="77"/>
      <c r="IS28" s="77"/>
      <c r="IT28" s="77"/>
      <c r="IU28" s="77"/>
      <c r="IV28" s="77"/>
      <c r="IW28" s="77"/>
      <c r="IX28" s="77"/>
      <c r="IY28" s="77"/>
      <c r="IZ28" s="77"/>
      <c r="JA28" s="77"/>
      <c r="JB28" s="77"/>
      <c r="JC28" s="77"/>
      <c r="JD28" s="77"/>
      <c r="JE28" s="77"/>
      <c r="JF28" s="77"/>
      <c r="JG28" s="77"/>
      <c r="JH28" s="77"/>
      <c r="JI28" s="77"/>
      <c r="JJ28" s="77"/>
      <c r="JK28" s="77"/>
      <c r="JL28" s="77"/>
      <c r="JM28" s="77"/>
      <c r="JN28" s="77"/>
      <c r="JO28" s="77"/>
      <c r="JP28" s="77"/>
      <c r="JQ28" s="78"/>
      <c r="JR28" s="76"/>
      <c r="JS28" s="77"/>
      <c r="JT28" s="77"/>
      <c r="JU28" s="77"/>
      <c r="JV28" s="77"/>
      <c r="JW28" s="77"/>
      <c r="JX28" s="77"/>
      <c r="JY28" s="77"/>
      <c r="JZ28" s="77"/>
      <c r="KA28" s="77"/>
      <c r="KB28" s="77"/>
      <c r="KC28" s="77"/>
      <c r="KD28" s="77"/>
      <c r="KE28" s="77"/>
      <c r="KF28" s="77"/>
      <c r="KG28" s="77"/>
      <c r="KH28" s="77"/>
      <c r="KI28" s="77"/>
      <c r="KJ28" s="77"/>
      <c r="KK28" s="77"/>
      <c r="KL28" s="77"/>
      <c r="KM28" s="77"/>
      <c r="KN28" s="77"/>
      <c r="KO28" s="77"/>
      <c r="KP28" s="77"/>
      <c r="KQ28" s="77"/>
      <c r="KR28" s="77"/>
      <c r="KS28" s="77"/>
      <c r="KT28" s="77"/>
      <c r="KU28" s="77"/>
      <c r="KV28" s="78"/>
      <c r="KW28" s="76"/>
      <c r="KX28" s="77"/>
      <c r="KY28" s="77"/>
      <c r="KZ28" s="77"/>
      <c r="LA28" s="77"/>
      <c r="LB28" s="77"/>
      <c r="LC28" s="77"/>
      <c r="LD28" s="77"/>
      <c r="LE28" s="77"/>
      <c r="LF28" s="77"/>
      <c r="LG28" s="77"/>
      <c r="LH28" s="77"/>
      <c r="LI28" s="77"/>
      <c r="LJ28" s="77"/>
      <c r="LK28" s="77"/>
      <c r="LL28" s="77"/>
      <c r="LM28" s="77"/>
      <c r="LN28" s="77"/>
      <c r="LO28" s="77"/>
      <c r="LP28" s="77"/>
      <c r="LQ28" s="77"/>
      <c r="LR28" s="77"/>
      <c r="LS28" s="77"/>
      <c r="LT28" s="77"/>
      <c r="LU28" s="77"/>
      <c r="LV28" s="77"/>
      <c r="LW28" s="77"/>
      <c r="LX28" s="77"/>
      <c r="LY28" s="77"/>
      <c r="LZ28" s="78"/>
      <c r="MA28" s="76"/>
      <c r="MB28" s="77"/>
      <c r="MC28" s="77"/>
      <c r="MD28" s="77"/>
      <c r="ME28" s="77"/>
      <c r="MF28" s="77"/>
      <c r="MG28" s="77"/>
      <c r="MH28" s="77"/>
      <c r="MI28" s="77"/>
      <c r="MJ28" s="77"/>
      <c r="MK28" s="77"/>
      <c r="ML28" s="77"/>
      <c r="MM28" s="77"/>
      <c r="MN28" s="77"/>
      <c r="MO28" s="77"/>
      <c r="MP28" s="77"/>
      <c r="MQ28" s="77"/>
      <c r="MR28" s="77"/>
      <c r="MS28" s="77"/>
      <c r="MT28" s="77"/>
      <c r="MU28" s="77"/>
      <c r="MV28" s="77"/>
      <c r="MW28" s="77"/>
      <c r="MX28" s="77"/>
      <c r="MY28" s="77"/>
      <c r="MZ28" s="77"/>
      <c r="NA28" s="77"/>
      <c r="NB28" s="77"/>
      <c r="NC28" s="77"/>
      <c r="ND28" s="77"/>
      <c r="NE28" s="78"/>
    </row>
    <row r="29" spans="1:369" x14ac:dyDescent="0.25">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c r="EU29" s="51"/>
      <c r="EV29" s="51"/>
      <c r="EW29" s="51"/>
      <c r="EX29" s="51"/>
      <c r="EY29" s="51"/>
      <c r="EZ29" s="51"/>
      <c r="FA29" s="51"/>
      <c r="FB29" s="51"/>
      <c r="FC29" s="51"/>
      <c r="FD29" s="51"/>
      <c r="FE29" s="51"/>
      <c r="FF29" s="51"/>
      <c r="FG29" s="51"/>
      <c r="FH29" s="51"/>
      <c r="FI29" s="51"/>
      <c r="FJ29" s="51"/>
      <c r="FK29" s="51"/>
      <c r="FL29" s="51"/>
      <c r="FM29" s="51"/>
      <c r="FN29" s="51"/>
      <c r="FO29" s="51"/>
      <c r="FP29" s="51"/>
      <c r="FQ29" s="51"/>
      <c r="FR29" s="51"/>
      <c r="FS29" s="51"/>
      <c r="FT29" s="51"/>
      <c r="FU29" s="51"/>
      <c r="FV29" s="51"/>
      <c r="FW29" s="51"/>
      <c r="FX29" s="51"/>
      <c r="FY29" s="51"/>
      <c r="FZ29" s="51"/>
      <c r="GA29" s="51"/>
      <c r="GB29" s="51"/>
      <c r="GC29" s="51"/>
      <c r="GD29" s="51"/>
      <c r="GE29" s="51"/>
      <c r="GF29" s="51"/>
      <c r="GG29" s="51"/>
      <c r="GH29" s="51"/>
      <c r="GI29" s="51"/>
      <c r="GJ29" s="51"/>
      <c r="GK29" s="51"/>
      <c r="GL29" s="51"/>
      <c r="GM29" s="51"/>
      <c r="GN29" s="51"/>
      <c r="GO29" s="51"/>
      <c r="GP29" s="51"/>
      <c r="GQ29" s="51"/>
      <c r="GR29" s="51"/>
      <c r="GS29" s="51"/>
      <c r="GT29" s="51"/>
      <c r="GU29" s="51"/>
      <c r="GV29" s="51"/>
      <c r="GW29" s="51"/>
      <c r="GX29" s="51"/>
      <c r="GY29" s="51"/>
      <c r="GZ29" s="51"/>
      <c r="HA29" s="51"/>
      <c r="HB29" s="51"/>
      <c r="HC29" s="51"/>
      <c r="HD29" s="51"/>
      <c r="HE29" s="51"/>
      <c r="HF29" s="51"/>
      <c r="HG29" s="51"/>
      <c r="HH29" s="51"/>
      <c r="HI29" s="51"/>
      <c r="HJ29" s="51"/>
      <c r="HK29" s="51"/>
      <c r="HL29" s="51"/>
      <c r="HM29" s="51"/>
      <c r="HN29" s="51"/>
      <c r="HO29" s="51"/>
      <c r="HP29" s="51"/>
      <c r="HQ29" s="51"/>
      <c r="HR29" s="51"/>
      <c r="HS29" s="51"/>
      <c r="HT29" s="51"/>
      <c r="HU29" s="51"/>
      <c r="HV29" s="51"/>
      <c r="HW29" s="51"/>
      <c r="HX29" s="51"/>
      <c r="HY29" s="51"/>
      <c r="HZ29" s="51"/>
      <c r="IA29" s="51"/>
      <c r="IB29" s="51"/>
      <c r="IC29" s="51"/>
      <c r="ID29" s="51"/>
      <c r="IE29" s="51"/>
      <c r="IF29" s="51"/>
      <c r="IG29" s="51"/>
      <c r="IH29" s="51"/>
      <c r="II29" s="51"/>
      <c r="IJ29" s="51"/>
      <c r="IK29" s="51"/>
      <c r="IL29" s="51"/>
      <c r="IM29" s="51"/>
      <c r="IN29" s="51"/>
      <c r="IO29" s="51"/>
      <c r="IP29" s="51"/>
      <c r="IQ29" s="51"/>
      <c r="IR29" s="51"/>
      <c r="IS29" s="51"/>
      <c r="IT29" s="51"/>
      <c r="IU29" s="51"/>
      <c r="IV29" s="51"/>
      <c r="IW29" s="51"/>
      <c r="IX29" s="51"/>
      <c r="IY29" s="51"/>
      <c r="IZ29" s="51"/>
      <c r="JA29" s="51"/>
      <c r="JB29" s="51"/>
      <c r="JC29" s="51"/>
      <c r="JD29" s="51"/>
      <c r="JE29" s="51"/>
      <c r="JF29" s="51"/>
      <c r="JG29" s="51"/>
      <c r="JH29" s="51"/>
      <c r="JI29" s="51"/>
      <c r="JJ29" s="51"/>
      <c r="JK29" s="51"/>
      <c r="JL29" s="51"/>
      <c r="JM29" s="51"/>
      <c r="JN29" s="51"/>
      <c r="JO29" s="51"/>
      <c r="JP29" s="51"/>
      <c r="JQ29" s="51"/>
      <c r="JR29" s="51"/>
      <c r="JS29" s="51"/>
      <c r="JT29" s="51"/>
      <c r="JU29" s="51"/>
      <c r="JV29" s="51"/>
      <c r="JW29" s="51"/>
      <c r="JX29" s="51"/>
      <c r="JY29" s="51"/>
      <c r="JZ29" s="51"/>
      <c r="KA29" s="51"/>
      <c r="KB29" s="51"/>
      <c r="KC29" s="51"/>
      <c r="KD29" s="51"/>
      <c r="KE29" s="51"/>
      <c r="KF29" s="51"/>
      <c r="KG29" s="51"/>
      <c r="KH29" s="51"/>
      <c r="KI29" s="51"/>
      <c r="KJ29" s="51"/>
      <c r="KK29" s="51"/>
      <c r="KL29" s="51"/>
      <c r="KM29" s="51"/>
      <c r="KN29" s="51"/>
      <c r="KO29" s="51"/>
      <c r="KP29" s="51"/>
      <c r="KQ29" s="51"/>
      <c r="KR29" s="51"/>
      <c r="KS29" s="51"/>
      <c r="KT29" s="51"/>
      <c r="KU29" s="51"/>
      <c r="KV29" s="51"/>
      <c r="KW29" s="51"/>
      <c r="KX29" s="51"/>
      <c r="KY29" s="51"/>
      <c r="KZ29" s="51"/>
      <c r="LA29" s="51"/>
      <c r="LB29" s="51"/>
      <c r="LC29" s="51"/>
      <c r="LD29" s="51"/>
      <c r="LE29" s="51"/>
      <c r="LF29" s="51"/>
      <c r="LG29" s="51"/>
      <c r="LH29" s="51"/>
      <c r="LI29" s="51"/>
      <c r="LJ29" s="51"/>
      <c r="LK29" s="51"/>
      <c r="LL29" s="51"/>
      <c r="LM29" s="51"/>
      <c r="LN29" s="51"/>
      <c r="LO29" s="51"/>
      <c r="LP29" s="51"/>
      <c r="LQ29" s="51"/>
      <c r="LR29" s="51"/>
      <c r="LS29" s="51"/>
      <c r="LT29" s="51"/>
      <c r="LU29" s="51"/>
      <c r="LV29" s="51"/>
      <c r="LW29" s="51"/>
      <c r="LX29" s="51"/>
      <c r="LY29" s="51"/>
      <c r="LZ29" s="51"/>
      <c r="MA29" s="51"/>
      <c r="MB29" s="51"/>
      <c r="MC29" s="51"/>
      <c r="MD29" s="51"/>
      <c r="ME29" s="51"/>
      <c r="MF29" s="51"/>
      <c r="MG29" s="51"/>
      <c r="MH29" s="51"/>
      <c r="MI29" s="51"/>
      <c r="MJ29" s="51"/>
      <c r="MK29" s="51"/>
      <c r="ML29" s="51"/>
      <c r="MM29" s="51"/>
      <c r="MN29" s="51"/>
      <c r="MO29" s="51"/>
      <c r="MP29" s="51"/>
      <c r="MQ29" s="51"/>
      <c r="MR29" s="51"/>
      <c r="MS29" s="51"/>
      <c r="MT29" s="51"/>
      <c r="MU29" s="51"/>
      <c r="MV29" s="51"/>
      <c r="MW29" s="51"/>
      <c r="MX29" s="51"/>
      <c r="MY29" s="51"/>
      <c r="MZ29" s="51"/>
      <c r="NA29" s="51"/>
      <c r="NB29" s="51"/>
      <c r="NC29" s="51"/>
      <c r="ND29" s="51"/>
      <c r="NE29" s="51"/>
    </row>
    <row r="30" spans="1:369" x14ac:dyDescent="0.25">
      <c r="A30" s="79" t="s">
        <v>93</v>
      </c>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c r="EU30" s="51"/>
      <c r="EV30" s="51"/>
      <c r="EW30" s="51"/>
      <c r="EX30" s="51"/>
      <c r="EY30" s="51"/>
      <c r="EZ30" s="51"/>
      <c r="FA30" s="51"/>
      <c r="FB30" s="51"/>
      <c r="FC30" s="51"/>
      <c r="FD30" s="51"/>
      <c r="FE30" s="51"/>
      <c r="FF30" s="51"/>
      <c r="FG30" s="51"/>
      <c r="FH30" s="51"/>
      <c r="FI30" s="51"/>
      <c r="FJ30" s="51"/>
      <c r="FK30" s="51"/>
      <c r="FL30" s="51"/>
      <c r="FM30" s="51"/>
      <c r="FN30" s="51"/>
      <c r="FO30" s="51"/>
      <c r="FP30" s="51"/>
      <c r="FQ30" s="51"/>
      <c r="FR30" s="51"/>
      <c r="FS30" s="51"/>
      <c r="FT30" s="51"/>
      <c r="FU30" s="51"/>
      <c r="FV30" s="51"/>
      <c r="FW30" s="51"/>
      <c r="FX30" s="51"/>
      <c r="FY30" s="51"/>
      <c r="FZ30" s="51"/>
      <c r="GA30" s="51"/>
      <c r="GB30" s="51"/>
      <c r="GC30" s="51"/>
      <c r="GD30" s="51"/>
      <c r="GE30" s="51"/>
      <c r="GF30" s="51"/>
      <c r="GG30" s="51"/>
      <c r="GH30" s="51"/>
      <c r="GI30" s="51"/>
      <c r="GJ30" s="51"/>
      <c r="GK30" s="51"/>
      <c r="GL30" s="51"/>
      <c r="GM30" s="51"/>
      <c r="GN30" s="51"/>
      <c r="GO30" s="51"/>
      <c r="GP30" s="51"/>
      <c r="GQ30" s="51"/>
      <c r="GR30" s="51"/>
      <c r="GS30" s="51"/>
      <c r="GT30" s="51"/>
      <c r="GU30" s="51"/>
      <c r="GV30" s="51"/>
      <c r="GW30" s="51"/>
      <c r="GX30" s="51"/>
      <c r="GY30" s="51"/>
      <c r="GZ30" s="51"/>
      <c r="HA30" s="51"/>
      <c r="HB30" s="51"/>
      <c r="HC30" s="51"/>
      <c r="HD30" s="51"/>
      <c r="HE30" s="51"/>
      <c r="HF30" s="51"/>
      <c r="HG30" s="51"/>
      <c r="HH30" s="51"/>
      <c r="HI30" s="51"/>
      <c r="HJ30" s="51"/>
      <c r="HK30" s="51"/>
      <c r="HL30" s="51"/>
      <c r="HM30" s="51"/>
      <c r="HN30" s="51"/>
      <c r="HO30" s="51"/>
      <c r="HP30" s="51"/>
      <c r="HQ30" s="51"/>
      <c r="HR30" s="51"/>
      <c r="HS30" s="51"/>
      <c r="HT30" s="51"/>
      <c r="HU30" s="51"/>
      <c r="HV30" s="51"/>
      <c r="HW30" s="51"/>
      <c r="HX30" s="51"/>
      <c r="HY30" s="51"/>
      <c r="HZ30" s="51"/>
      <c r="IA30" s="51"/>
      <c r="IB30" s="51"/>
      <c r="IC30" s="51"/>
      <c r="ID30" s="51"/>
      <c r="IE30" s="51"/>
      <c r="IF30" s="51"/>
      <c r="IG30" s="51"/>
      <c r="IH30" s="51"/>
      <c r="II30" s="51"/>
      <c r="IJ30" s="51"/>
      <c r="IK30" s="51"/>
      <c r="IL30" s="51"/>
      <c r="IM30" s="51"/>
      <c r="IN30" s="51"/>
      <c r="IO30" s="51"/>
      <c r="IP30" s="51"/>
      <c r="IQ30" s="51"/>
      <c r="IR30" s="51"/>
      <c r="IS30" s="51"/>
      <c r="IT30" s="51"/>
      <c r="IU30" s="51"/>
      <c r="IV30" s="51"/>
      <c r="IW30" s="51"/>
      <c r="IX30" s="51"/>
      <c r="IY30" s="51"/>
      <c r="IZ30" s="51"/>
      <c r="JA30" s="51"/>
      <c r="JB30" s="51"/>
      <c r="JC30" s="51"/>
      <c r="JD30" s="51"/>
      <c r="JE30" s="51"/>
      <c r="JF30" s="51"/>
      <c r="JG30" s="51"/>
      <c r="JH30" s="51"/>
      <c r="JI30" s="51"/>
      <c r="JJ30" s="51"/>
      <c r="JK30" s="51"/>
      <c r="JL30" s="51"/>
      <c r="JM30" s="51"/>
      <c r="JN30" s="51"/>
      <c r="JO30" s="51"/>
      <c r="JP30" s="51"/>
      <c r="JQ30" s="51"/>
      <c r="JR30" s="51"/>
      <c r="JS30" s="51"/>
      <c r="JT30" s="51"/>
      <c r="JU30" s="51"/>
      <c r="JV30" s="51"/>
      <c r="JW30" s="51"/>
      <c r="JX30" s="51"/>
      <c r="JY30" s="51"/>
      <c r="JZ30" s="51"/>
      <c r="KA30" s="51"/>
      <c r="KB30" s="51"/>
      <c r="KC30" s="51"/>
      <c r="KD30" s="51"/>
      <c r="KE30" s="51"/>
      <c r="KF30" s="51"/>
      <c r="KG30" s="51"/>
      <c r="KH30" s="51"/>
      <c r="KI30" s="51"/>
      <c r="KJ30" s="51"/>
      <c r="KK30" s="51"/>
      <c r="KL30" s="51"/>
      <c r="KM30" s="51"/>
      <c r="KN30" s="51"/>
      <c r="KO30" s="51"/>
      <c r="KP30" s="51"/>
      <c r="KQ30" s="51"/>
      <c r="KR30" s="51"/>
      <c r="KS30" s="51"/>
      <c r="KT30" s="51"/>
      <c r="KU30" s="51"/>
      <c r="KV30" s="51"/>
      <c r="KW30" s="51"/>
      <c r="KX30" s="51"/>
      <c r="KY30" s="51"/>
      <c r="KZ30" s="51"/>
      <c r="LA30" s="51"/>
      <c r="LB30" s="51"/>
      <c r="LC30" s="51"/>
      <c r="LD30" s="51"/>
      <c r="LE30" s="51"/>
      <c r="LF30" s="51"/>
      <c r="LG30" s="51"/>
      <c r="LH30" s="51"/>
      <c r="LI30" s="51"/>
      <c r="LJ30" s="51"/>
      <c r="LK30" s="51"/>
      <c r="LL30" s="51"/>
      <c r="LM30" s="51"/>
      <c r="LN30" s="51"/>
      <c r="LO30" s="51"/>
      <c r="LP30" s="51"/>
      <c r="LQ30" s="51"/>
      <c r="LR30" s="51"/>
      <c r="LS30" s="51"/>
      <c r="LT30" s="51"/>
      <c r="LU30" s="51"/>
      <c r="LV30" s="51"/>
      <c r="LW30" s="51"/>
      <c r="LX30" s="51"/>
      <c r="LY30" s="51"/>
      <c r="LZ30" s="51"/>
      <c r="MA30" s="51"/>
      <c r="MB30" s="51"/>
      <c r="MC30" s="51"/>
      <c r="MD30" s="51"/>
      <c r="ME30" s="51"/>
      <c r="MF30" s="51"/>
      <c r="MG30" s="51"/>
      <c r="MH30" s="51"/>
      <c r="MI30" s="51"/>
      <c r="MJ30" s="51"/>
      <c r="MK30" s="51"/>
      <c r="ML30" s="51"/>
      <c r="MM30" s="51"/>
      <c r="MN30" s="51"/>
      <c r="MO30" s="51"/>
      <c r="MP30" s="51"/>
      <c r="MQ30" s="51"/>
      <c r="MR30" s="51"/>
      <c r="MS30" s="51"/>
      <c r="MT30" s="51"/>
      <c r="MU30" s="51"/>
      <c r="MV30" s="51"/>
      <c r="MW30" s="51"/>
      <c r="MX30" s="51"/>
      <c r="MY30" s="51"/>
      <c r="MZ30" s="51"/>
      <c r="NA30" s="51"/>
      <c r="NB30" s="51"/>
      <c r="NC30" s="51"/>
      <c r="ND30" s="51"/>
      <c r="NE30" s="51"/>
    </row>
  </sheetData>
  <mergeCells count="18">
    <mergeCell ref="IN4:JQ4"/>
    <mergeCell ref="JR4:KV4"/>
    <mergeCell ref="A2:NE2"/>
    <mergeCell ref="A3:A5"/>
    <mergeCell ref="B3:B5"/>
    <mergeCell ref="C3:C5"/>
    <mergeCell ref="D3:D5"/>
    <mergeCell ref="E3:NE3"/>
    <mergeCell ref="E4:AI4"/>
    <mergeCell ref="AJ4:BK4"/>
    <mergeCell ref="BL4:CP4"/>
    <mergeCell ref="CQ4:DT4"/>
    <mergeCell ref="KW4:LZ4"/>
    <mergeCell ref="MA4:NE4"/>
    <mergeCell ref="DU4:EY4"/>
    <mergeCell ref="EZ4:GC4"/>
    <mergeCell ref="GD4:HH4"/>
    <mergeCell ref="HI4:IM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960CC-A99A-4A47-958B-AA3E2722DF1C}">
  <sheetPr>
    <tabColor theme="4" tint="0.79998168889431442"/>
  </sheetPr>
  <dimension ref="B1:H8"/>
  <sheetViews>
    <sheetView workbookViewId="0">
      <selection activeCell="L153" sqref="L153"/>
    </sheetView>
  </sheetViews>
  <sheetFormatPr defaultColWidth="9.140625" defaultRowHeight="15.75" x14ac:dyDescent="0.25"/>
  <cols>
    <col min="1" max="1" width="2.7109375" style="26" customWidth="1"/>
    <col min="2" max="2" width="5" style="26" customWidth="1"/>
    <col min="3" max="3" width="21.85546875" style="26" customWidth="1"/>
    <col min="4" max="4" width="9.5703125" style="26" customWidth="1"/>
    <col min="5" max="5" width="27.7109375" style="26" customWidth="1"/>
    <col min="6" max="6" width="46.5703125" style="26" customWidth="1"/>
    <col min="7" max="7" width="18.7109375" style="26" customWidth="1"/>
    <col min="8" max="8" width="16.7109375" style="26" customWidth="1"/>
    <col min="9" max="16384" width="9.140625" style="26"/>
  </cols>
  <sheetData>
    <row r="1" spans="2:8" x14ac:dyDescent="0.25">
      <c r="B1" s="232" t="s">
        <v>78</v>
      </c>
      <c r="C1" s="232"/>
      <c r="D1" s="232"/>
      <c r="E1" s="232"/>
      <c r="F1" s="232"/>
      <c r="G1" s="232"/>
      <c r="H1" s="232"/>
    </row>
    <row r="3" spans="2:8" ht="47.25" x14ac:dyDescent="0.25">
      <c r="B3" s="25" t="s">
        <v>11</v>
      </c>
      <c r="C3" s="25" t="s">
        <v>72</v>
      </c>
      <c r="D3" s="25" t="s">
        <v>73</v>
      </c>
      <c r="E3" s="25" t="s">
        <v>74</v>
      </c>
      <c r="F3" s="25" t="s">
        <v>75</v>
      </c>
      <c r="G3" s="25" t="s">
        <v>76</v>
      </c>
      <c r="H3" s="25" t="s">
        <v>77</v>
      </c>
    </row>
    <row r="4" spans="2:8" x14ac:dyDescent="0.25">
      <c r="B4" s="25"/>
      <c r="C4" s="25"/>
      <c r="D4" s="25"/>
      <c r="E4" s="25"/>
      <c r="F4" s="25"/>
      <c r="G4" s="25"/>
      <c r="H4" s="25"/>
    </row>
    <row r="5" spans="2:8" x14ac:dyDescent="0.25">
      <c r="B5" s="25"/>
      <c r="C5" s="25"/>
      <c r="D5" s="25"/>
      <c r="E5" s="25"/>
      <c r="F5" s="25"/>
      <c r="G5" s="25"/>
      <c r="H5" s="25"/>
    </row>
    <row r="6" spans="2:8" x14ac:dyDescent="0.25">
      <c r="B6" s="25"/>
      <c r="C6" s="25"/>
      <c r="D6" s="25"/>
      <c r="E6" s="25"/>
      <c r="F6" s="25"/>
      <c r="G6" s="25"/>
      <c r="H6" s="25"/>
    </row>
    <row r="7" spans="2:8" x14ac:dyDescent="0.25">
      <c r="B7" s="25"/>
      <c r="C7" s="25"/>
      <c r="D7" s="25"/>
      <c r="E7" s="25"/>
      <c r="F7" s="25"/>
      <c r="G7" s="25"/>
      <c r="H7" s="25"/>
    </row>
    <row r="8" spans="2:8" x14ac:dyDescent="0.25">
      <c r="B8" s="25"/>
      <c r="C8" s="25"/>
      <c r="D8" s="25"/>
      <c r="E8" s="25"/>
      <c r="F8" s="25"/>
      <c r="G8" s="25"/>
      <c r="H8" s="25"/>
    </row>
  </sheetData>
  <mergeCells count="1">
    <mergeCell ref="B1:H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Форма КП</vt:lpstr>
      <vt:lpstr>ЛСР №1</vt:lpstr>
      <vt:lpstr>Ведомость ДМ</vt:lpstr>
      <vt:lpstr>ГПР</vt:lpstr>
      <vt:lpstr>Замечания-предложения к РД</vt:lpstr>
      <vt:lpstr>'Ведомость ДМ'!Область_печати</vt:lpstr>
      <vt:lpstr>'Форма 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Шушунов Сергей Сергеевич</dc:creator>
  <cp:lastModifiedBy>Шушунов Сергей Сергеевич</cp:lastModifiedBy>
  <cp:lastPrinted>2025-08-27T02:20:27Z</cp:lastPrinted>
  <dcterms:created xsi:type="dcterms:W3CDTF">2015-06-05T18:19:34Z</dcterms:created>
  <dcterms:modified xsi:type="dcterms:W3CDTF">2025-09-29T05:01:50Z</dcterms:modified>
</cp:coreProperties>
</file>